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1670" firstSheet="16" activeTab="18"/>
  </bookViews>
  <sheets>
    <sheet name="f. Financování dle OP 2016" sheetId="4" r:id="rId1"/>
    <sheet name="f. Financování dle OP 2017" sheetId="15" r:id="rId2"/>
    <sheet name="f. Financování dle OP 2018" sheetId="16" r:id="rId3"/>
    <sheet name="f. Financování dle OP 2019" sheetId="14" r:id="rId4"/>
    <sheet name="f. Financování dle OP 2020" sheetId="17" r:id="rId5"/>
    <sheet name="f. Financování dle OP 2021" sheetId="18" r:id="rId6"/>
    <sheet name="f. Financování dle OP 2022" sheetId="19" r:id="rId7"/>
    <sheet name="f. Financování dle OP 2023" sheetId="20" r:id="rId8"/>
    <sheet name="f. Financování dle OP celkem" sheetId="29" r:id="rId9"/>
    <sheet name="e. a h. Financování dle CLLD" sheetId="12" r:id="rId10"/>
    <sheet name="g. Indikátory" sheetId="13" r:id="rId11"/>
    <sheet name="e. a h. Financování CLLD 2016" sheetId="21" r:id="rId12"/>
    <sheet name="e. a h. Financování CLLD 2017" sheetId="22" r:id="rId13"/>
    <sheet name="e. a h. Financování CLLD 2018" sheetId="23" r:id="rId14"/>
    <sheet name="e. a h. Financování CLLD 2019" sheetId="24" r:id="rId15"/>
    <sheet name="e. a h. Financování CLLD 2020" sheetId="25" r:id="rId16"/>
    <sheet name="e. a h. Fincování CLLD 2021" sheetId="26" r:id="rId17"/>
    <sheet name="e. a h. Financování CLLD 2022" sheetId="27" r:id="rId18"/>
    <sheet name="e. a h. Financování CLLD 2023" sheetId="28" r:id="rId19"/>
  </sheets>
  <calcPr calcId="145621"/>
</workbook>
</file>

<file path=xl/calcChain.xml><?xml version="1.0" encoding="utf-8"?>
<calcChain xmlns="http://schemas.openxmlformats.org/spreadsheetml/2006/main">
  <c r="I18" i="18" l="1"/>
  <c r="I18" i="17"/>
  <c r="G44" i="29" l="1"/>
  <c r="F44" i="29"/>
  <c r="M29" i="29" l="1"/>
  <c r="I26" i="29" l="1"/>
  <c r="G26" i="29"/>
  <c r="F26" i="29"/>
  <c r="Q6" i="12"/>
  <c r="Q7" i="12" s="1"/>
  <c r="L25" i="12"/>
  <c r="J25" i="12"/>
  <c r="I25" i="12"/>
  <c r="Q6" i="26"/>
  <c r="Q7" i="26" s="1"/>
  <c r="R9" i="25"/>
  <c r="R8" i="25"/>
  <c r="Q6" i="25"/>
  <c r="Q7" i="25" s="1"/>
  <c r="Q6" i="24"/>
  <c r="Q7" i="24" s="1"/>
  <c r="Q6" i="23"/>
  <c r="Q7" i="23" s="1"/>
  <c r="Q6" i="27"/>
  <c r="Q7" i="27" s="1"/>
  <c r="G16" i="19"/>
  <c r="L25" i="23"/>
  <c r="J25" i="23"/>
  <c r="Q8" i="23" s="1"/>
  <c r="Q9" i="23" s="1"/>
  <c r="I25" i="23"/>
  <c r="Q8" i="28"/>
  <c r="Q9" i="28" s="1"/>
  <c r="P8" i="28"/>
  <c r="P9" i="28" s="1"/>
  <c r="Q7" i="28"/>
  <c r="Q6" i="28"/>
  <c r="P6" i="28"/>
  <c r="R6" i="28" s="1"/>
  <c r="R7" i="28" s="1"/>
  <c r="Q3" i="28"/>
  <c r="Q5" i="28" s="1"/>
  <c r="Q10" i="28" s="1"/>
  <c r="P3" i="28"/>
  <c r="P5" i="28" s="1"/>
  <c r="Q8" i="27"/>
  <c r="Q9" i="27" s="1"/>
  <c r="P8" i="27"/>
  <c r="P9" i="27" s="1"/>
  <c r="P6" i="27"/>
  <c r="Q3" i="27"/>
  <c r="Q5" i="27" s="1"/>
  <c r="P3" i="27"/>
  <c r="P5" i="27" s="1"/>
  <c r="Q8" i="26"/>
  <c r="Q9" i="26" s="1"/>
  <c r="P8" i="26"/>
  <c r="P9" i="26" s="1"/>
  <c r="Q3" i="26"/>
  <c r="Q5" i="26" s="1"/>
  <c r="P3" i="26"/>
  <c r="P5" i="26" s="1"/>
  <c r="Q8" i="25"/>
  <c r="Q9" i="25" s="1"/>
  <c r="P8" i="25"/>
  <c r="P9" i="25" s="1"/>
  <c r="P6" i="25"/>
  <c r="Q3" i="25"/>
  <c r="Q5" i="25" s="1"/>
  <c r="P3" i="25"/>
  <c r="P5" i="25" s="1"/>
  <c r="Q8" i="24"/>
  <c r="Q9" i="24" s="1"/>
  <c r="P8" i="24"/>
  <c r="P9" i="24" s="1"/>
  <c r="Q3" i="24"/>
  <c r="Q5" i="24" s="1"/>
  <c r="P3" i="24"/>
  <c r="P5" i="24" s="1"/>
  <c r="P8" i="23"/>
  <c r="P9" i="23" s="1"/>
  <c r="Q3" i="23"/>
  <c r="Q5" i="23" s="1"/>
  <c r="P3" i="23"/>
  <c r="P5" i="23" s="1"/>
  <c r="Q8" i="22"/>
  <c r="Q9" i="22" s="1"/>
  <c r="P8" i="22"/>
  <c r="P9" i="22" s="1"/>
  <c r="Q7" i="22"/>
  <c r="P7" i="22"/>
  <c r="Q6" i="22"/>
  <c r="P6" i="22"/>
  <c r="R6" i="22" s="1"/>
  <c r="R7" i="22" s="1"/>
  <c r="Q3" i="22"/>
  <c r="Q5" i="22" s="1"/>
  <c r="Q10" i="22" s="1"/>
  <c r="P3" i="22"/>
  <c r="P5" i="22" s="1"/>
  <c r="P10" i="22" s="1"/>
  <c r="Q8" i="21"/>
  <c r="Q9" i="21" s="1"/>
  <c r="P8" i="21"/>
  <c r="P9" i="21" s="1"/>
  <c r="Q7" i="21"/>
  <c r="Q6" i="21"/>
  <c r="P6" i="21"/>
  <c r="R6" i="21" s="1"/>
  <c r="R7" i="21" s="1"/>
  <c r="Q3" i="21"/>
  <c r="Q5" i="21" s="1"/>
  <c r="Q10" i="21" s="1"/>
  <c r="P3" i="21"/>
  <c r="P5" i="21" s="1"/>
  <c r="Q8" i="12"/>
  <c r="Q9" i="12" s="1"/>
  <c r="P8" i="12"/>
  <c r="Q3" i="12"/>
  <c r="Q5" i="12" s="1"/>
  <c r="P3" i="12"/>
  <c r="P6" i="26" l="1"/>
  <c r="P6" i="24"/>
  <c r="P7" i="24" s="1"/>
  <c r="P10" i="24" s="1"/>
  <c r="P6" i="23"/>
  <c r="P10" i="28"/>
  <c r="P7" i="28"/>
  <c r="R3" i="28"/>
  <c r="R5" i="28" s="1"/>
  <c r="R10" i="28" s="1"/>
  <c r="R8" i="28"/>
  <c r="R9" i="28" s="1"/>
  <c r="P7" i="27"/>
  <c r="P10" i="27" s="1"/>
  <c r="R3" i="27"/>
  <c r="R5" i="27" s="1"/>
  <c r="R8" i="27"/>
  <c r="R9" i="27" s="1"/>
  <c r="R3" i="26"/>
  <c r="R5" i="26" s="1"/>
  <c r="R8" i="26"/>
  <c r="R9" i="26" s="1"/>
  <c r="P7" i="25"/>
  <c r="P10" i="25" s="1"/>
  <c r="R3" i="25"/>
  <c r="R5" i="25" s="1"/>
  <c r="R3" i="24"/>
  <c r="R5" i="24" s="1"/>
  <c r="R8" i="24"/>
  <c r="R9" i="24" s="1"/>
  <c r="R3" i="23"/>
  <c r="R5" i="23" s="1"/>
  <c r="R8" i="23"/>
  <c r="R9" i="23" s="1"/>
  <c r="R3" i="22"/>
  <c r="R5" i="22" s="1"/>
  <c r="R10" i="22" s="1"/>
  <c r="R8" i="22"/>
  <c r="R9" i="22" s="1"/>
  <c r="P7" i="21"/>
  <c r="P10" i="21" s="1"/>
  <c r="R3" i="21"/>
  <c r="R5" i="21" s="1"/>
  <c r="R10" i="21" s="1"/>
  <c r="R8" i="21"/>
  <c r="R9" i="21" s="1"/>
  <c r="R8" i="12"/>
  <c r="R9" i="12" s="1"/>
  <c r="P9" i="12"/>
  <c r="P6" i="12"/>
  <c r="P7" i="12" s="1"/>
  <c r="R3" i="12"/>
  <c r="R5" i="12" s="1"/>
  <c r="P5" i="12"/>
  <c r="P10" i="12" l="1"/>
  <c r="P7" i="26"/>
  <c r="P10" i="26" s="1"/>
  <c r="P7" i="23"/>
  <c r="P10" i="23" s="1"/>
  <c r="J44" i="29" l="1"/>
  <c r="J43" i="29"/>
  <c r="I43" i="29"/>
  <c r="H43" i="29"/>
  <c r="G43" i="29"/>
  <c r="F43" i="29"/>
  <c r="J42" i="29"/>
  <c r="I42" i="29"/>
  <c r="H42" i="29"/>
  <c r="G42" i="29"/>
  <c r="F42" i="29"/>
  <c r="E42" i="29"/>
  <c r="J41" i="29"/>
  <c r="J45" i="29" s="1"/>
  <c r="I41" i="29"/>
  <c r="H41" i="29"/>
  <c r="G41" i="29"/>
  <c r="F41" i="29"/>
  <c r="F45" i="29" s="1"/>
  <c r="J34" i="20"/>
  <c r="I34" i="20"/>
  <c r="H34" i="20"/>
  <c r="G34" i="20"/>
  <c r="F34" i="20"/>
  <c r="E34" i="20" s="1"/>
  <c r="J33" i="20"/>
  <c r="I33" i="20"/>
  <c r="H33" i="20"/>
  <c r="G33" i="20"/>
  <c r="F33" i="20"/>
  <c r="E33" i="20" s="1"/>
  <c r="J32" i="20"/>
  <c r="I32" i="20"/>
  <c r="H32" i="20"/>
  <c r="G32" i="20"/>
  <c r="F32" i="20"/>
  <c r="E32" i="20" s="1"/>
  <c r="J31" i="20"/>
  <c r="J35" i="20" s="1"/>
  <c r="I31" i="20"/>
  <c r="I35" i="20" s="1"/>
  <c r="H31" i="20"/>
  <c r="H35" i="20" s="1"/>
  <c r="G31" i="20"/>
  <c r="G35" i="20" s="1"/>
  <c r="F31" i="20"/>
  <c r="F35" i="20" s="1"/>
  <c r="J34" i="19"/>
  <c r="H34" i="19"/>
  <c r="G34" i="19"/>
  <c r="F34" i="19"/>
  <c r="J33" i="19"/>
  <c r="I33" i="19"/>
  <c r="H33" i="19"/>
  <c r="G33" i="19"/>
  <c r="F33" i="19"/>
  <c r="J32" i="19"/>
  <c r="I32" i="19"/>
  <c r="H32" i="19"/>
  <c r="G32" i="19"/>
  <c r="F32" i="19"/>
  <c r="E32" i="19" s="1"/>
  <c r="J31" i="19"/>
  <c r="J35" i="19" s="1"/>
  <c r="I31" i="19"/>
  <c r="H31" i="19"/>
  <c r="G31" i="19"/>
  <c r="F31" i="19"/>
  <c r="J34" i="18"/>
  <c r="H34" i="18"/>
  <c r="G34" i="18"/>
  <c r="F34" i="18"/>
  <c r="J33" i="18"/>
  <c r="I33" i="18"/>
  <c r="H33" i="18"/>
  <c r="G33" i="18"/>
  <c r="E33" i="18" s="1"/>
  <c r="F33" i="18"/>
  <c r="J32" i="18"/>
  <c r="I32" i="18"/>
  <c r="H32" i="18"/>
  <c r="G32" i="18"/>
  <c r="F32" i="18"/>
  <c r="E32" i="18" s="1"/>
  <c r="J31" i="18"/>
  <c r="J35" i="18" s="1"/>
  <c r="I31" i="18"/>
  <c r="H31" i="18"/>
  <c r="G31" i="18"/>
  <c r="F31" i="18"/>
  <c r="F35" i="18" s="1"/>
  <c r="J34" i="17"/>
  <c r="H34" i="17"/>
  <c r="G34" i="17"/>
  <c r="F34" i="17"/>
  <c r="J33" i="17"/>
  <c r="I33" i="17"/>
  <c r="H33" i="17"/>
  <c r="G33" i="17"/>
  <c r="F33" i="17"/>
  <c r="E33" i="17"/>
  <c r="J32" i="17"/>
  <c r="I32" i="17"/>
  <c r="H32" i="17"/>
  <c r="G32" i="17"/>
  <c r="F32" i="17"/>
  <c r="E32" i="17" s="1"/>
  <c r="J31" i="17"/>
  <c r="J35" i="17" s="1"/>
  <c r="I31" i="17"/>
  <c r="H31" i="17"/>
  <c r="H35" i="17" s="1"/>
  <c r="G31" i="17"/>
  <c r="G35" i="17" s="1"/>
  <c r="F31" i="17"/>
  <c r="F35" i="17" s="1"/>
  <c r="E31" i="17"/>
  <c r="J34" i="14"/>
  <c r="H34" i="14"/>
  <c r="G34" i="14"/>
  <c r="F34" i="14"/>
  <c r="J33" i="14"/>
  <c r="I33" i="14"/>
  <c r="H33" i="14"/>
  <c r="G33" i="14"/>
  <c r="F33" i="14"/>
  <c r="E33" i="14" s="1"/>
  <c r="J32" i="14"/>
  <c r="I32" i="14"/>
  <c r="H32" i="14"/>
  <c r="G32" i="14"/>
  <c r="F32" i="14"/>
  <c r="E32" i="14" s="1"/>
  <c r="J31" i="14"/>
  <c r="J35" i="14" s="1"/>
  <c r="I31" i="14"/>
  <c r="H31" i="14"/>
  <c r="G31" i="14"/>
  <c r="F31" i="14"/>
  <c r="J34" i="16"/>
  <c r="H34" i="16"/>
  <c r="G34" i="16"/>
  <c r="F34" i="16"/>
  <c r="J33" i="16"/>
  <c r="I33" i="16"/>
  <c r="H33" i="16"/>
  <c r="G33" i="16"/>
  <c r="F33" i="16"/>
  <c r="J32" i="16"/>
  <c r="I32" i="16"/>
  <c r="H32" i="16"/>
  <c r="G32" i="16"/>
  <c r="F32" i="16"/>
  <c r="J31" i="16"/>
  <c r="F31" i="16"/>
  <c r="G31" i="16"/>
  <c r="H31" i="16"/>
  <c r="I31" i="16"/>
  <c r="J35" i="15"/>
  <c r="I35" i="15"/>
  <c r="I34" i="15"/>
  <c r="E34" i="15" s="1"/>
  <c r="G34" i="15"/>
  <c r="F34" i="15"/>
  <c r="I33" i="15"/>
  <c r="E33" i="15" s="1"/>
  <c r="G33" i="15"/>
  <c r="F33" i="15"/>
  <c r="I32" i="15"/>
  <c r="E32" i="15" s="1"/>
  <c r="G32" i="15"/>
  <c r="F32" i="15"/>
  <c r="H31" i="15"/>
  <c r="H35" i="15" s="1"/>
  <c r="G31" i="15"/>
  <c r="G35" i="15" s="1"/>
  <c r="F31" i="15"/>
  <c r="F35" i="15" s="1"/>
  <c r="J35" i="4"/>
  <c r="G34" i="4"/>
  <c r="F34" i="4"/>
  <c r="G33" i="4"/>
  <c r="F33" i="4"/>
  <c r="G32" i="4"/>
  <c r="F32" i="4"/>
  <c r="G31" i="4"/>
  <c r="G35" i="4" s="1"/>
  <c r="F31" i="4"/>
  <c r="H31" i="4" s="1"/>
  <c r="S25" i="12"/>
  <c r="J25" i="25"/>
  <c r="I25" i="25"/>
  <c r="N26" i="29"/>
  <c r="J25" i="27"/>
  <c r="I25" i="27"/>
  <c r="F16" i="19"/>
  <c r="G35" i="14" l="1"/>
  <c r="H35" i="14"/>
  <c r="G45" i="29"/>
  <c r="E43" i="29"/>
  <c r="F35" i="14"/>
  <c r="H35" i="18"/>
  <c r="G35" i="18"/>
  <c r="H35" i="19"/>
  <c r="F35" i="19"/>
  <c r="G35" i="19"/>
  <c r="E33" i="19"/>
  <c r="E41" i="29"/>
  <c r="E31" i="20"/>
  <c r="E35" i="20" s="1"/>
  <c r="E31" i="19"/>
  <c r="E31" i="18"/>
  <c r="E31" i="14"/>
  <c r="E33" i="16"/>
  <c r="J35" i="16"/>
  <c r="G35" i="16"/>
  <c r="E32" i="16"/>
  <c r="H35" i="16"/>
  <c r="F35" i="16"/>
  <c r="E31" i="15"/>
  <c r="E35" i="15" s="1"/>
  <c r="F35" i="4"/>
  <c r="H35" i="4"/>
  <c r="E31" i="4"/>
  <c r="I32" i="4"/>
  <c r="E32" i="4" s="1"/>
  <c r="I33" i="4"/>
  <c r="E33" i="4" s="1"/>
  <c r="I34" i="4"/>
  <c r="E34" i="4" s="1"/>
  <c r="E31" i="16" l="1"/>
  <c r="E35" i="4"/>
  <c r="I35" i="4"/>
  <c r="I44" i="29" l="1"/>
  <c r="I45" i="29" s="1"/>
  <c r="H44" i="29"/>
  <c r="I20" i="28"/>
  <c r="I19" i="28"/>
  <c r="I18" i="28"/>
  <c r="I17" i="28"/>
  <c r="I15" i="28"/>
  <c r="I20" i="27"/>
  <c r="I19" i="27"/>
  <c r="I18" i="27"/>
  <c r="I17" i="27"/>
  <c r="I15" i="27"/>
  <c r="I20" i="26"/>
  <c r="I19" i="26"/>
  <c r="I18" i="26"/>
  <c r="I17" i="26"/>
  <c r="I15" i="26"/>
  <c r="I20" i="25"/>
  <c r="I19" i="25"/>
  <c r="I18" i="25"/>
  <c r="I17" i="25"/>
  <c r="I15" i="25"/>
  <c r="I20" i="24"/>
  <c r="I19" i="24"/>
  <c r="I18" i="24"/>
  <c r="I17" i="24"/>
  <c r="I15" i="24"/>
  <c r="I19" i="23"/>
  <c r="I18" i="23"/>
  <c r="I17" i="23"/>
  <c r="I16" i="23"/>
  <c r="I15" i="23"/>
  <c r="F11" i="20"/>
  <c r="F10" i="20"/>
  <c r="F9" i="20"/>
  <c r="F8" i="20"/>
  <c r="F6" i="20"/>
  <c r="F11" i="19"/>
  <c r="F10" i="19"/>
  <c r="F9" i="19"/>
  <c r="F8" i="19"/>
  <c r="F6" i="19"/>
  <c r="F11" i="18"/>
  <c r="F10" i="18"/>
  <c r="F9" i="18"/>
  <c r="F8" i="18"/>
  <c r="F6" i="18"/>
  <c r="F11" i="17"/>
  <c r="F10" i="17"/>
  <c r="F9" i="17"/>
  <c r="F8" i="17"/>
  <c r="F6" i="17"/>
  <c r="F11" i="14"/>
  <c r="F10" i="14"/>
  <c r="G9" i="14"/>
  <c r="F9" i="14"/>
  <c r="F8" i="14"/>
  <c r="F6" i="14"/>
  <c r="F10" i="16"/>
  <c r="F9" i="16"/>
  <c r="F8" i="16"/>
  <c r="F7" i="16"/>
  <c r="F6" i="16"/>
  <c r="H45" i="29" l="1"/>
  <c r="E44" i="29"/>
  <c r="E45" i="29" s="1"/>
  <c r="L27" i="12" l="1"/>
  <c r="Q10" i="12" l="1"/>
  <c r="F21" i="29"/>
  <c r="F20" i="29"/>
  <c r="F19" i="29"/>
  <c r="F18" i="29"/>
  <c r="F17" i="29"/>
  <c r="F16" i="29"/>
  <c r="I20" i="12"/>
  <c r="I19" i="12"/>
  <c r="I18" i="12"/>
  <c r="I17" i="12"/>
  <c r="I16" i="12"/>
  <c r="I15" i="12"/>
  <c r="R6" i="12" l="1"/>
  <c r="R7" i="12" s="1"/>
  <c r="R10" i="12" s="1"/>
  <c r="L23" i="27"/>
  <c r="J23" i="27"/>
  <c r="I23" i="27"/>
  <c r="O23" i="27"/>
  <c r="L21" i="27"/>
  <c r="J21" i="27"/>
  <c r="I21" i="27"/>
  <c r="E26" i="29"/>
  <c r="I14" i="19" l="1"/>
  <c r="I12" i="19"/>
  <c r="O21" i="27"/>
  <c r="M14" i="19"/>
  <c r="M12" i="19"/>
  <c r="G12" i="20"/>
  <c r="F12" i="20"/>
  <c r="H8" i="18" l="1"/>
  <c r="P7" i="29" l="1"/>
  <c r="P8" i="29" s="1"/>
  <c r="Q6" i="29"/>
  <c r="P6" i="29"/>
  <c r="Q3" i="29"/>
  <c r="P3" i="29"/>
  <c r="Q7" i="29"/>
  <c r="Q8" i="29" s="1"/>
  <c r="Q9" i="29" l="1"/>
  <c r="P9" i="29"/>
  <c r="R7" i="29"/>
  <c r="R8" i="29" s="1"/>
  <c r="M11" i="20"/>
  <c r="M10" i="20"/>
  <c r="M9" i="20"/>
  <c r="M8" i="20"/>
  <c r="M6" i="20"/>
  <c r="M11" i="19"/>
  <c r="M10" i="19"/>
  <c r="M9" i="19"/>
  <c r="M8" i="19"/>
  <c r="M6" i="19"/>
  <c r="M14" i="18"/>
  <c r="M12" i="18"/>
  <c r="M11" i="18"/>
  <c r="M10" i="18"/>
  <c r="M9" i="18"/>
  <c r="M8" i="18"/>
  <c r="M6" i="18"/>
  <c r="M16" i="17"/>
  <c r="M14" i="17"/>
  <c r="M13" i="17"/>
  <c r="M12" i="17"/>
  <c r="M11" i="17"/>
  <c r="M10" i="17"/>
  <c r="M9" i="17"/>
  <c r="M8" i="17"/>
  <c r="M6" i="17"/>
  <c r="M15" i="14"/>
  <c r="M14" i="14"/>
  <c r="M13" i="14"/>
  <c r="M12" i="14"/>
  <c r="M11" i="14"/>
  <c r="M10" i="14"/>
  <c r="M9" i="14"/>
  <c r="M8" i="14"/>
  <c r="M6" i="14"/>
  <c r="G13" i="16"/>
  <c r="G14" i="16"/>
  <c r="G15" i="16"/>
  <c r="G16" i="16"/>
  <c r="F13" i="16"/>
  <c r="F14" i="16"/>
  <c r="F15" i="16"/>
  <c r="F16" i="16"/>
  <c r="G12" i="16"/>
  <c r="F12" i="16"/>
  <c r="F11" i="16"/>
  <c r="G11" i="16"/>
  <c r="M16" i="16"/>
  <c r="M14" i="16"/>
  <c r="M13" i="16"/>
  <c r="M12" i="16"/>
  <c r="M10" i="16"/>
  <c r="M9" i="16"/>
  <c r="M8" i="16"/>
  <c r="M7" i="16"/>
  <c r="M6" i="16"/>
  <c r="J31" i="29" l="1"/>
  <c r="Q5" i="29" l="1"/>
  <c r="E17" i="29"/>
  <c r="E25" i="29"/>
  <c r="E24" i="29"/>
  <c r="E23" i="29"/>
  <c r="E21" i="29"/>
  <c r="E19" i="29"/>
  <c r="E18" i="29"/>
  <c r="G31" i="29"/>
  <c r="R6" i="29" l="1"/>
  <c r="R9" i="29" s="1"/>
  <c r="E22" i="29"/>
  <c r="E16" i="29"/>
  <c r="E20" i="29"/>
  <c r="F31" i="29"/>
  <c r="M31" i="29" s="1"/>
  <c r="H31" i="29" l="1"/>
  <c r="I31" i="29"/>
  <c r="E31" i="29"/>
  <c r="R3" i="29"/>
  <c r="R5" i="29" s="1"/>
  <c r="P5" i="29"/>
  <c r="M30" i="28"/>
  <c r="J29" i="28"/>
  <c r="I29" i="28"/>
  <c r="J28" i="28"/>
  <c r="I28" i="28"/>
  <c r="J27" i="28"/>
  <c r="I27" i="28"/>
  <c r="J26" i="28"/>
  <c r="I26" i="28"/>
  <c r="J25" i="28"/>
  <c r="I25" i="28"/>
  <c r="J24" i="28"/>
  <c r="I24" i="28"/>
  <c r="J22" i="28"/>
  <c r="I22" i="28"/>
  <c r="J16" i="28"/>
  <c r="M30" i="27"/>
  <c r="J24" i="27"/>
  <c r="I24" i="27"/>
  <c r="J22" i="27"/>
  <c r="I22" i="27"/>
  <c r="J16" i="27"/>
  <c r="I16" i="27"/>
  <c r="M30" i="26"/>
  <c r="J25" i="26"/>
  <c r="I25" i="26"/>
  <c r="J24" i="26"/>
  <c r="I24" i="26"/>
  <c r="J22" i="26"/>
  <c r="I22" i="26"/>
  <c r="J16" i="26"/>
  <c r="I16" i="26"/>
  <c r="M30" i="25"/>
  <c r="J24" i="25"/>
  <c r="I24" i="25"/>
  <c r="J16" i="25"/>
  <c r="I16" i="25"/>
  <c r="M30" i="24"/>
  <c r="J25" i="24"/>
  <c r="L25" i="24" s="1"/>
  <c r="I25" i="24"/>
  <c r="J16" i="24"/>
  <c r="I16" i="24"/>
  <c r="M30" i="23"/>
  <c r="J24" i="23"/>
  <c r="I24" i="23"/>
  <c r="I20" i="23"/>
  <c r="J20" i="23"/>
  <c r="M30" i="22"/>
  <c r="J29" i="22"/>
  <c r="I29" i="22"/>
  <c r="J28" i="22"/>
  <c r="I28" i="22"/>
  <c r="J27" i="22"/>
  <c r="I27" i="22"/>
  <c r="J26" i="22"/>
  <c r="I26" i="22"/>
  <c r="L26" i="22" s="1"/>
  <c r="J25" i="22"/>
  <c r="I25" i="22"/>
  <c r="L25" i="22" s="1"/>
  <c r="L24" i="22"/>
  <c r="J24" i="22"/>
  <c r="I24" i="22"/>
  <c r="J23" i="22"/>
  <c r="I23" i="22"/>
  <c r="J22" i="22"/>
  <c r="L22" i="22" s="1"/>
  <c r="I22" i="22"/>
  <c r="J21" i="22"/>
  <c r="I21" i="22"/>
  <c r="J20" i="22"/>
  <c r="J19" i="22"/>
  <c r="I19" i="22"/>
  <c r="L19" i="22" s="1"/>
  <c r="I18" i="22"/>
  <c r="J18" i="22"/>
  <c r="J17" i="22"/>
  <c r="J16" i="22"/>
  <c r="I16" i="22"/>
  <c r="J15" i="22"/>
  <c r="I15" i="22"/>
  <c r="M30" i="21"/>
  <c r="J29" i="21"/>
  <c r="I29" i="21"/>
  <c r="J28" i="21"/>
  <c r="I28" i="21"/>
  <c r="J27" i="21"/>
  <c r="I27" i="21"/>
  <c r="J26" i="21"/>
  <c r="I26" i="21"/>
  <c r="J25" i="21"/>
  <c r="I25" i="21"/>
  <c r="J24" i="21"/>
  <c r="I24" i="21"/>
  <c r="J23" i="21"/>
  <c r="I23" i="21"/>
  <c r="J22" i="21"/>
  <c r="I22" i="21"/>
  <c r="J21" i="21"/>
  <c r="I21" i="21"/>
  <c r="I20" i="21"/>
  <c r="J20" i="21"/>
  <c r="J19" i="21"/>
  <c r="I19" i="21"/>
  <c r="K19" i="21" s="1"/>
  <c r="J18" i="21"/>
  <c r="I18" i="21"/>
  <c r="I17" i="21"/>
  <c r="J17" i="21"/>
  <c r="J16" i="21"/>
  <c r="I16" i="21"/>
  <c r="I15" i="21"/>
  <c r="Q10" i="24" l="1"/>
  <c r="R6" i="24"/>
  <c r="R7" i="24" s="1"/>
  <c r="R10" i="24" s="1"/>
  <c r="H22" i="24"/>
  <c r="H25" i="24"/>
  <c r="L23" i="22"/>
  <c r="H25" i="22"/>
  <c r="K16" i="21"/>
  <c r="L19" i="21"/>
  <c r="H21" i="25"/>
  <c r="H25" i="25"/>
  <c r="H24" i="24"/>
  <c r="H21" i="24"/>
  <c r="J30" i="28"/>
  <c r="H20" i="28"/>
  <c r="H17" i="28"/>
  <c r="I16" i="28"/>
  <c r="L22" i="28"/>
  <c r="H22" i="28" s="1"/>
  <c r="L24" i="28"/>
  <c r="H24" i="28" s="1"/>
  <c r="L25" i="28"/>
  <c r="H25" i="28" s="1"/>
  <c r="L26" i="28"/>
  <c r="H26" i="28" s="1"/>
  <c r="L27" i="28"/>
  <c r="H27" i="28" s="1"/>
  <c r="L28" i="28"/>
  <c r="H28" i="28" s="1"/>
  <c r="L29" i="28"/>
  <c r="H29" i="28" s="1"/>
  <c r="H19" i="27"/>
  <c r="H18" i="27"/>
  <c r="J30" i="27"/>
  <c r="L22" i="27"/>
  <c r="H22" i="27" s="1"/>
  <c r="H23" i="27"/>
  <c r="L24" i="27"/>
  <c r="H24" i="27" s="1"/>
  <c r="H25" i="27"/>
  <c r="K16" i="27"/>
  <c r="H16" i="27" s="1"/>
  <c r="K16" i="26"/>
  <c r="H16" i="26" s="1"/>
  <c r="H20" i="26"/>
  <c r="I30" i="26"/>
  <c r="H17" i="26"/>
  <c r="H18" i="26"/>
  <c r="H21" i="26"/>
  <c r="L22" i="26"/>
  <c r="H22" i="26" s="1"/>
  <c r="H23" i="26"/>
  <c r="L24" i="26"/>
  <c r="H24" i="26" s="1"/>
  <c r="L25" i="26"/>
  <c r="H25" i="26" s="1"/>
  <c r="L24" i="25"/>
  <c r="H24" i="25" s="1"/>
  <c r="H23" i="25"/>
  <c r="H22" i="25"/>
  <c r="J30" i="25"/>
  <c r="H19" i="25"/>
  <c r="H15" i="25"/>
  <c r="K16" i="25"/>
  <c r="H16" i="25" s="1"/>
  <c r="H23" i="24"/>
  <c r="J30" i="24"/>
  <c r="H19" i="24"/>
  <c r="H15" i="24"/>
  <c r="K16" i="24"/>
  <c r="H16" i="24" s="1"/>
  <c r="H19" i="23"/>
  <c r="H16" i="23"/>
  <c r="K20" i="23"/>
  <c r="H20" i="23" s="1"/>
  <c r="I30" i="23"/>
  <c r="H17" i="23"/>
  <c r="H21" i="23"/>
  <c r="H22" i="23"/>
  <c r="H23" i="23"/>
  <c r="L24" i="23"/>
  <c r="H24" i="23" s="1"/>
  <c r="H25" i="23"/>
  <c r="L29" i="22"/>
  <c r="H29" i="22" s="1"/>
  <c r="L28" i="22"/>
  <c r="H28" i="22" s="1"/>
  <c r="L27" i="22"/>
  <c r="H27" i="22" s="1"/>
  <c r="H26" i="22"/>
  <c r="H24" i="22"/>
  <c r="H23" i="22"/>
  <c r="H22" i="22"/>
  <c r="L21" i="22"/>
  <c r="H21" i="22" s="1"/>
  <c r="J30" i="22"/>
  <c r="L18" i="22"/>
  <c r="K15" i="22"/>
  <c r="I17" i="22"/>
  <c r="K19" i="22"/>
  <c r="I20" i="22"/>
  <c r="H15" i="22"/>
  <c r="K16" i="22"/>
  <c r="H16" i="22" s="1"/>
  <c r="H19" i="22"/>
  <c r="H19" i="21"/>
  <c r="H16" i="21"/>
  <c r="K20" i="21"/>
  <c r="H20" i="21" s="1"/>
  <c r="I30" i="21"/>
  <c r="K17" i="21"/>
  <c r="H17" i="21" s="1"/>
  <c r="J15" i="21"/>
  <c r="L18" i="21"/>
  <c r="L21" i="21"/>
  <c r="H21" i="21" s="1"/>
  <c r="L22" i="21"/>
  <c r="H22" i="21" s="1"/>
  <c r="L23" i="21"/>
  <c r="H23" i="21" s="1"/>
  <c r="L24" i="21"/>
  <c r="H24" i="21" s="1"/>
  <c r="L25" i="21"/>
  <c r="H25" i="21" s="1"/>
  <c r="L26" i="21"/>
  <c r="H26" i="21" s="1"/>
  <c r="L27" i="21"/>
  <c r="H27" i="21" s="1"/>
  <c r="L28" i="21"/>
  <c r="H28" i="21" s="1"/>
  <c r="L29" i="21"/>
  <c r="H29" i="21" s="1"/>
  <c r="J21" i="20"/>
  <c r="G20" i="20"/>
  <c r="F20" i="20"/>
  <c r="G19" i="20"/>
  <c r="F19" i="20"/>
  <c r="G18" i="20"/>
  <c r="F18" i="20"/>
  <c r="G17" i="20"/>
  <c r="F17" i="20"/>
  <c r="G16" i="20"/>
  <c r="F16" i="20"/>
  <c r="G15" i="20"/>
  <c r="F15" i="20"/>
  <c r="G14" i="20"/>
  <c r="F14" i="20"/>
  <c r="G13" i="20"/>
  <c r="F13" i="20"/>
  <c r="H10" i="20"/>
  <c r="G7" i="20"/>
  <c r="F7" i="20"/>
  <c r="H6" i="20"/>
  <c r="J21" i="19"/>
  <c r="G15" i="19"/>
  <c r="F15" i="19"/>
  <c r="I15" i="19" s="1"/>
  <c r="E15" i="19" s="1"/>
  <c r="G14" i="19"/>
  <c r="F14" i="19"/>
  <c r="I13" i="19"/>
  <c r="E13" i="19" s="1"/>
  <c r="G13" i="19"/>
  <c r="F13" i="19"/>
  <c r="G12" i="19"/>
  <c r="F12" i="19"/>
  <c r="H11" i="19"/>
  <c r="E11" i="19" s="1"/>
  <c r="I10" i="19"/>
  <c r="G7" i="19"/>
  <c r="F7" i="19"/>
  <c r="J21" i="18"/>
  <c r="G16" i="18"/>
  <c r="F16" i="18"/>
  <c r="G15" i="18"/>
  <c r="F15" i="18"/>
  <c r="G14" i="18"/>
  <c r="F14" i="18"/>
  <c r="G13" i="18"/>
  <c r="F13" i="18"/>
  <c r="G12" i="18"/>
  <c r="F12" i="18"/>
  <c r="I9" i="18"/>
  <c r="G7" i="18"/>
  <c r="F7" i="18"/>
  <c r="H7" i="18" s="1"/>
  <c r="J21" i="17"/>
  <c r="G16" i="17"/>
  <c r="F16" i="17"/>
  <c r="G15" i="17"/>
  <c r="F15" i="17"/>
  <c r="G14" i="17"/>
  <c r="F14" i="17"/>
  <c r="G13" i="17"/>
  <c r="F13" i="17"/>
  <c r="G12" i="17"/>
  <c r="F12" i="17"/>
  <c r="H8" i="17"/>
  <c r="H7" i="17"/>
  <c r="G7" i="17"/>
  <c r="F7" i="17"/>
  <c r="J21" i="16"/>
  <c r="H10" i="16"/>
  <c r="J21" i="15"/>
  <c r="G20" i="15"/>
  <c r="F20" i="15"/>
  <c r="G19" i="15"/>
  <c r="F19" i="15"/>
  <c r="G18" i="15"/>
  <c r="F18" i="15"/>
  <c r="G17" i="15"/>
  <c r="F17" i="15"/>
  <c r="G16" i="15"/>
  <c r="F16" i="15"/>
  <c r="G15" i="15"/>
  <c r="F15" i="15"/>
  <c r="G14" i="15"/>
  <c r="F14" i="15"/>
  <c r="G13" i="15"/>
  <c r="F13" i="15"/>
  <c r="G12" i="15"/>
  <c r="F12" i="15"/>
  <c r="G11" i="15"/>
  <c r="F11" i="15"/>
  <c r="G10" i="15"/>
  <c r="F10" i="15"/>
  <c r="H10" i="15" s="1"/>
  <c r="G9" i="15"/>
  <c r="F9" i="15"/>
  <c r="G8" i="15"/>
  <c r="F8" i="15"/>
  <c r="H8" i="15" s="1"/>
  <c r="G7" i="15"/>
  <c r="F7" i="15"/>
  <c r="G6" i="15"/>
  <c r="F6" i="15"/>
  <c r="H6" i="15" s="1"/>
  <c r="J21" i="14"/>
  <c r="G16" i="14"/>
  <c r="F16" i="14"/>
  <c r="G15" i="14"/>
  <c r="F15" i="14"/>
  <c r="G14" i="14"/>
  <c r="F14" i="14"/>
  <c r="G13" i="14"/>
  <c r="F13" i="14"/>
  <c r="E13" i="14" s="1"/>
  <c r="G12" i="14"/>
  <c r="F12" i="14"/>
  <c r="G7" i="14"/>
  <c r="F7" i="14"/>
  <c r="Q10" i="27" l="1"/>
  <c r="R6" i="27"/>
  <c r="R7" i="27" s="1"/>
  <c r="R10" i="27" s="1"/>
  <c r="Q10" i="25"/>
  <c r="R6" i="25"/>
  <c r="R7" i="25" s="1"/>
  <c r="R10" i="25" s="1"/>
  <c r="R6" i="26"/>
  <c r="R7" i="26" s="1"/>
  <c r="R10" i="26" s="1"/>
  <c r="Q10" i="26"/>
  <c r="Q10" i="23"/>
  <c r="R6" i="23"/>
  <c r="R7" i="23" s="1"/>
  <c r="R10" i="23" s="1"/>
  <c r="E12" i="19"/>
  <c r="H19" i="26"/>
  <c r="J30" i="21"/>
  <c r="H11" i="14"/>
  <c r="E11" i="14" s="1"/>
  <c r="H19" i="28"/>
  <c r="I30" i="27"/>
  <c r="O30" i="27" s="1"/>
  <c r="J30" i="26"/>
  <c r="O30" i="26" s="1"/>
  <c r="L30" i="24"/>
  <c r="J30" i="23"/>
  <c r="O30" i="23" s="1"/>
  <c r="E15" i="14"/>
  <c r="G21" i="17"/>
  <c r="H6" i="17"/>
  <c r="E6" i="17" s="1"/>
  <c r="G21" i="18"/>
  <c r="E14" i="19"/>
  <c r="L30" i="28"/>
  <c r="K16" i="28"/>
  <c r="H16" i="28" s="1"/>
  <c r="K30" i="28"/>
  <c r="I30" i="28"/>
  <c r="O30" i="28" s="1"/>
  <c r="H18" i="28"/>
  <c r="L30" i="27"/>
  <c r="H21" i="27"/>
  <c r="H20" i="27"/>
  <c r="H17" i="27"/>
  <c r="H15" i="27"/>
  <c r="L30" i="26"/>
  <c r="K30" i="26"/>
  <c r="L30" i="25"/>
  <c r="H17" i="25"/>
  <c r="H20" i="25"/>
  <c r="H18" i="25"/>
  <c r="I30" i="25"/>
  <c r="O30" i="25" s="1"/>
  <c r="H17" i="24"/>
  <c r="H20" i="24"/>
  <c r="H18" i="24"/>
  <c r="I30" i="24"/>
  <c r="O30" i="24" s="1"/>
  <c r="L30" i="23"/>
  <c r="H18" i="23"/>
  <c r="K30" i="23"/>
  <c r="L30" i="22"/>
  <c r="K17" i="22"/>
  <c r="K30" i="22" s="1"/>
  <c r="K20" i="22"/>
  <c r="H20" i="22" s="1"/>
  <c r="H18" i="22"/>
  <c r="I30" i="22"/>
  <c r="O30" i="22" s="1"/>
  <c r="O30" i="21"/>
  <c r="L30" i="21"/>
  <c r="K15" i="21"/>
  <c r="H18" i="21"/>
  <c r="H8" i="20"/>
  <c r="E8" i="20" s="1"/>
  <c r="H8" i="19"/>
  <c r="E8" i="19" s="1"/>
  <c r="H6" i="19"/>
  <c r="E6" i="19" s="1"/>
  <c r="H10" i="17"/>
  <c r="G21" i="14"/>
  <c r="E8" i="17"/>
  <c r="H10" i="19"/>
  <c r="E10" i="19" s="1"/>
  <c r="F21" i="14"/>
  <c r="I10" i="14"/>
  <c r="E12" i="14"/>
  <c r="E14" i="14"/>
  <c r="I16" i="14"/>
  <c r="E16" i="14" s="1"/>
  <c r="I18" i="14"/>
  <c r="G21" i="15"/>
  <c r="H7" i="16"/>
  <c r="E7" i="16" s="1"/>
  <c r="I9" i="16"/>
  <c r="E9" i="16" s="1"/>
  <c r="E7" i="17"/>
  <c r="I9" i="17"/>
  <c r="E9" i="17" s="1"/>
  <c r="H6" i="18"/>
  <c r="E6" i="18" s="1"/>
  <c r="E8" i="18"/>
  <c r="H10" i="18"/>
  <c r="G21" i="19"/>
  <c r="E16" i="19"/>
  <c r="G21" i="20"/>
  <c r="H7" i="15"/>
  <c r="I9" i="15"/>
  <c r="F21" i="17"/>
  <c r="I10" i="17"/>
  <c r="H7" i="19"/>
  <c r="E7" i="19" s="1"/>
  <c r="I9" i="19"/>
  <c r="E9" i="19" s="1"/>
  <c r="H7" i="20"/>
  <c r="E7" i="20" s="1"/>
  <c r="I9" i="20"/>
  <c r="E9" i="20" s="1"/>
  <c r="H8" i="16"/>
  <c r="E8" i="16" s="1"/>
  <c r="E6" i="20"/>
  <c r="I10" i="20"/>
  <c r="E10" i="20" s="1"/>
  <c r="H11" i="20"/>
  <c r="I13" i="20"/>
  <c r="E13" i="20" s="1"/>
  <c r="I15" i="20"/>
  <c r="E15" i="20" s="1"/>
  <c r="I16" i="20"/>
  <c r="E16" i="20" s="1"/>
  <c r="I17" i="20"/>
  <c r="E17" i="20" s="1"/>
  <c r="I18" i="20"/>
  <c r="E18" i="20" s="1"/>
  <c r="I19" i="20"/>
  <c r="E19" i="20" s="1"/>
  <c r="I20" i="20"/>
  <c r="E20" i="20" s="1"/>
  <c r="F21" i="20"/>
  <c r="I18" i="19"/>
  <c r="I34" i="19" s="1"/>
  <c r="F21" i="19"/>
  <c r="E7" i="18"/>
  <c r="E9" i="18"/>
  <c r="I10" i="18"/>
  <c r="H11" i="18"/>
  <c r="E12" i="18"/>
  <c r="I13" i="18"/>
  <c r="E13" i="18" s="1"/>
  <c r="E14" i="18"/>
  <c r="I15" i="18"/>
  <c r="E15" i="18" s="1"/>
  <c r="I16" i="18"/>
  <c r="E16" i="18" s="1"/>
  <c r="F21" i="18"/>
  <c r="H11" i="17"/>
  <c r="E13" i="17"/>
  <c r="E14" i="17"/>
  <c r="I15" i="17"/>
  <c r="E15" i="17" s="1"/>
  <c r="E16" i="17"/>
  <c r="I10" i="16"/>
  <c r="E10" i="16" s="1"/>
  <c r="H11" i="16"/>
  <c r="E11" i="16" s="1"/>
  <c r="E12" i="16"/>
  <c r="E13" i="16"/>
  <c r="E14" i="16"/>
  <c r="I15" i="16"/>
  <c r="E15" i="16" s="1"/>
  <c r="E16" i="16"/>
  <c r="I18" i="16"/>
  <c r="E6" i="15"/>
  <c r="E7" i="15"/>
  <c r="E8" i="15"/>
  <c r="E9" i="15"/>
  <c r="I10" i="15"/>
  <c r="E10" i="15" s="1"/>
  <c r="H11" i="15"/>
  <c r="H21" i="15" s="1"/>
  <c r="I12" i="15"/>
  <c r="E12" i="15" s="1"/>
  <c r="I13" i="15"/>
  <c r="E13" i="15" s="1"/>
  <c r="I14" i="15"/>
  <c r="E14" i="15" s="1"/>
  <c r="I15" i="15"/>
  <c r="E15" i="15" s="1"/>
  <c r="I16" i="15"/>
  <c r="E16" i="15" s="1"/>
  <c r="I17" i="15"/>
  <c r="E17" i="15" s="1"/>
  <c r="I18" i="15"/>
  <c r="E18" i="15" s="1"/>
  <c r="I19" i="15"/>
  <c r="E19" i="15" s="1"/>
  <c r="I20" i="15"/>
  <c r="E20" i="15" s="1"/>
  <c r="F21" i="15"/>
  <c r="M21" i="15" s="1"/>
  <c r="H6" i="14"/>
  <c r="E6" i="14" s="1"/>
  <c r="H7" i="14"/>
  <c r="E7" i="14" s="1"/>
  <c r="H8" i="14"/>
  <c r="E8" i="14" s="1"/>
  <c r="I9" i="14"/>
  <c r="H10" i="14"/>
  <c r="E10" i="14" s="1"/>
  <c r="I34" i="16" l="1"/>
  <c r="I34" i="14"/>
  <c r="I34" i="17"/>
  <c r="I34" i="18"/>
  <c r="I35" i="19"/>
  <c r="E34" i="19"/>
  <c r="E35" i="19" s="1"/>
  <c r="E10" i="18"/>
  <c r="H17" i="22"/>
  <c r="H30" i="22" s="1"/>
  <c r="H21" i="19"/>
  <c r="M21" i="17"/>
  <c r="H21" i="17"/>
  <c r="E10" i="17"/>
  <c r="M21" i="18"/>
  <c r="H15" i="28"/>
  <c r="H30" i="28" s="1"/>
  <c r="K30" i="27"/>
  <c r="H30" i="27"/>
  <c r="H15" i="26"/>
  <c r="H30" i="26" s="1"/>
  <c r="H30" i="25"/>
  <c r="K30" i="25"/>
  <c r="H30" i="24"/>
  <c r="K30" i="24"/>
  <c r="H15" i="23"/>
  <c r="H30" i="23" s="1"/>
  <c r="K30" i="21"/>
  <c r="H15" i="21"/>
  <c r="H30" i="21" s="1"/>
  <c r="M21" i="20"/>
  <c r="M21" i="19"/>
  <c r="M21" i="14"/>
  <c r="I21" i="17"/>
  <c r="I21" i="14"/>
  <c r="H21" i="18"/>
  <c r="H21" i="20"/>
  <c r="I21" i="19"/>
  <c r="E11" i="20"/>
  <c r="E21" i="20" s="1"/>
  <c r="I21" i="20"/>
  <c r="E21" i="19"/>
  <c r="E11" i="18"/>
  <c r="I21" i="18"/>
  <c r="E11" i="17"/>
  <c r="E12" i="17"/>
  <c r="I21" i="16"/>
  <c r="E11" i="15"/>
  <c r="E21" i="15" s="1"/>
  <c r="I21" i="15"/>
  <c r="E9" i="14"/>
  <c r="E21" i="14" s="1"/>
  <c r="H21" i="14"/>
  <c r="E34" i="16" l="1"/>
  <c r="E35" i="16" s="1"/>
  <c r="I35" i="16"/>
  <c r="I35" i="14"/>
  <c r="E34" i="14"/>
  <c r="E35" i="14" s="1"/>
  <c r="E34" i="17"/>
  <c r="E35" i="17" s="1"/>
  <c r="I35" i="17"/>
  <c r="E21" i="18"/>
  <c r="E34" i="18"/>
  <c r="E35" i="18" s="1"/>
  <c r="I35" i="18"/>
  <c r="E21" i="17"/>
  <c r="J21" i="4"/>
  <c r="G20" i="4"/>
  <c r="F20" i="4"/>
  <c r="G19" i="4"/>
  <c r="F19" i="4"/>
  <c r="G18" i="4"/>
  <c r="F18" i="4"/>
  <c r="G17" i="4"/>
  <c r="F17" i="4"/>
  <c r="G16" i="4"/>
  <c r="F16" i="4"/>
  <c r="G15" i="4"/>
  <c r="F15" i="4"/>
  <c r="G14" i="4"/>
  <c r="F14" i="4"/>
  <c r="G13" i="4"/>
  <c r="F13" i="4"/>
  <c r="G12" i="4"/>
  <c r="F12" i="4"/>
  <c r="F11" i="4"/>
  <c r="G10" i="4"/>
  <c r="G9" i="4"/>
  <c r="F9" i="4"/>
  <c r="F8" i="4"/>
  <c r="G7" i="4"/>
  <c r="G6" i="4"/>
  <c r="F10" i="4" l="1"/>
  <c r="H10" i="4" s="1"/>
  <c r="G11" i="4"/>
  <c r="H11" i="4" s="1"/>
  <c r="E11" i="4" s="1"/>
  <c r="G8" i="4"/>
  <c r="F6" i="4"/>
  <c r="F7" i="4"/>
  <c r="I9" i="4"/>
  <c r="I12" i="4"/>
  <c r="E12" i="4" s="1"/>
  <c r="I13" i="4"/>
  <c r="E13" i="4" s="1"/>
  <c r="I14" i="4"/>
  <c r="E14" i="4" s="1"/>
  <c r="I15" i="4"/>
  <c r="E15" i="4" s="1"/>
  <c r="I16" i="4"/>
  <c r="E16" i="4" s="1"/>
  <c r="I17" i="4"/>
  <c r="E17" i="4" s="1"/>
  <c r="I18" i="4"/>
  <c r="E18" i="4" s="1"/>
  <c r="I19" i="4"/>
  <c r="E19" i="4" s="1"/>
  <c r="I20" i="4"/>
  <c r="E20" i="4" s="1"/>
  <c r="M30" i="12"/>
  <c r="G21" i="4" l="1"/>
  <c r="I10" i="4"/>
  <c r="E10" i="4" s="1"/>
  <c r="H8" i="4"/>
  <c r="E8" i="4" s="1"/>
  <c r="I21" i="4"/>
  <c r="H7" i="4"/>
  <c r="E7" i="4" s="1"/>
  <c r="F21" i="4"/>
  <c r="H6" i="4"/>
  <c r="E6" i="4" s="1"/>
  <c r="E9" i="4"/>
  <c r="M21" i="4" l="1"/>
  <c r="E21" i="4"/>
  <c r="H21" i="4"/>
  <c r="H21" i="12"/>
  <c r="H22" i="12"/>
  <c r="H23" i="12"/>
  <c r="H24" i="12"/>
  <c r="H25" i="12"/>
  <c r="H15" i="12" l="1"/>
  <c r="L30" i="12"/>
  <c r="I30" i="12"/>
  <c r="J30" i="12"/>
  <c r="H19" i="12"/>
  <c r="H20" i="12"/>
  <c r="H17" i="12"/>
  <c r="H18" i="12"/>
  <c r="H16" i="12"/>
  <c r="K30" i="12" l="1"/>
  <c r="H30" i="12"/>
  <c r="O30" i="12"/>
  <c r="G21" i="16" l="1"/>
  <c r="F21" i="16" l="1"/>
  <c r="M21" i="16" s="1"/>
  <c r="H6" i="16"/>
  <c r="H21" i="16" s="1"/>
  <c r="E6" i="16" l="1"/>
  <c r="E21" i="16" s="1"/>
</calcChain>
</file>

<file path=xl/comments1.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2.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3.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4.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5.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6.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7.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8.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9.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sharedStrings.xml><?xml version="1.0" encoding="utf-8"?>
<sst xmlns="http://schemas.openxmlformats.org/spreadsheetml/2006/main" count="2787" uniqueCount="353">
  <si>
    <t>Celkem</t>
  </si>
  <si>
    <t>Národní soukromé zdroje
(d)</t>
  </si>
  <si>
    <t>Národní veřejné zdroje (kraj, obec, jiné) 
( c )</t>
  </si>
  <si>
    <t>Národní veřejné zdroje (SR, SF) (b)</t>
  </si>
  <si>
    <t>Příspěvek
 Unie (a)</t>
  </si>
  <si>
    <t>Z toho
Vlastní zdroje příjemce</t>
  </si>
  <si>
    <t>Z toho Podpora</t>
  </si>
  <si>
    <t>Celkové způsobilé výdaje
(CZV)</t>
  </si>
  <si>
    <t>Nezpůsobilé výdaje (v tis. 
Kč)</t>
  </si>
  <si>
    <t>PLÁN FINANCOVÁNÍ (způsobilé výdaje v tis. Kč)</t>
  </si>
  <si>
    <t>Specifický cíl OP/ 
Operace PRV</t>
  </si>
  <si>
    <t>Investiční priorita/
Prioritní 
oblast</t>
  </si>
  <si>
    <t>Prioritní 
osa OP/
Priorita
Unie</t>
  </si>
  <si>
    <t xml:space="preserve">Programový rámec </t>
  </si>
  <si>
    <t>tabulka bude automaticky generovaná v součtech předchozích tabulek</t>
  </si>
  <si>
    <t>Fond</t>
  </si>
  <si>
    <t>Program</t>
  </si>
  <si>
    <t xml:space="preserve"> Příspěvek Unie</t>
  </si>
  <si>
    <t xml:space="preserve">Národní spolufinancování </t>
  </si>
  <si>
    <t xml:space="preserve">Celkové způsobilé výdaje </t>
  </si>
  <si>
    <t>EFRR</t>
  </si>
  <si>
    <t>IROP</t>
  </si>
  <si>
    <t>OP ŽP</t>
  </si>
  <si>
    <t>Celkem EFRR</t>
  </si>
  <si>
    <t>ESF</t>
  </si>
  <si>
    <t>OP Z</t>
  </si>
  <si>
    <t>EZFRV</t>
  </si>
  <si>
    <t>PRV</t>
  </si>
  <si>
    <t>Celkem EZFRV</t>
  </si>
  <si>
    <t xml:space="preserve"> Celkem</t>
  </si>
  <si>
    <t>Specifický 
cíl SCLLD</t>
  </si>
  <si>
    <t>Opatření 
SCLLD</t>
  </si>
  <si>
    <t>Pod-
opatření 
SCLLD</t>
  </si>
  <si>
    <t>IDENTIFIKACE programu</t>
  </si>
  <si>
    <t>PLÁN FINANCOVÁNÍ (způsobilé výdaje v Kč)</t>
  </si>
  <si>
    <t>Nezpůsobilé výdaje (tis. Kč)</t>
  </si>
  <si>
    <t>Prioritní
osa/</t>
  </si>
  <si>
    <t>Investiční priorita
OP/</t>
  </si>
  <si>
    <t>Specifický cíl OP
/ Operace PRV</t>
  </si>
  <si>
    <t>Priorita 
Unie</t>
  </si>
  <si>
    <t>Prioritní 
oblast</t>
  </si>
  <si>
    <t xml:space="preserve">Celkem alokace </t>
  </si>
  <si>
    <t>Kofinancování v %</t>
  </si>
  <si>
    <t xml:space="preserve"> n/a</t>
  </si>
  <si>
    <t>OPZ</t>
  </si>
  <si>
    <t>Podpora zaměstnanosti</t>
  </si>
  <si>
    <t>Sociální služby a sociální zalčeňování</t>
  </si>
  <si>
    <t>2</t>
  </si>
  <si>
    <t>2.3.1 Zvýšit zapojení lokálních aktérů do řešení problémů nezaměstnanosti a sociálního začleňování
ve venkovských oblastech</t>
  </si>
  <si>
    <t>Slaďování rodinného a profesního života</t>
  </si>
  <si>
    <t>Sociální podnikání</t>
  </si>
  <si>
    <t>Identifikace indikátorů</t>
  </si>
  <si>
    <t>Hodnoty indikátorů</t>
  </si>
  <si>
    <t>Odůvodnění,
jakým 
způsobem
byly hodnoty
stanoveny</t>
  </si>
  <si>
    <t>Kód
NČI2014+</t>
  </si>
  <si>
    <t>Název
indikátoru</t>
  </si>
  <si>
    <t>Měrná 
jednotka</t>
  </si>
  <si>
    <t>Typ indikátoru (výstup/výsledek)</t>
  </si>
  <si>
    <t>Výchozí
hodnota</t>
  </si>
  <si>
    <t>Datum 
výchozí
hodnoty</t>
  </si>
  <si>
    <t>Cílová
hodnota</t>
  </si>
  <si>
    <t>Datum cílové hodnoty</t>
  </si>
  <si>
    <t>Syntéza potřeb území a disponibilních zdrojů z ESI administrovaných přes MAS</t>
  </si>
  <si>
    <t>2.4.1.A. Podpora udržitelnosti nemotorové a veřejné dopravy</t>
  </si>
  <si>
    <t xml:space="preserve">2.4. - Infrastruktura pro veřejnou a nemotorovou dopravu </t>
  </si>
  <si>
    <t xml:space="preserve">7 52 01 </t>
  </si>
  <si>
    <t>Počet nových nebo rekonstruovaných přestupních terminálů ve veřejné dopravě</t>
  </si>
  <si>
    <t>výstup</t>
  </si>
  <si>
    <t>terminál</t>
  </si>
  <si>
    <t>7 50 01</t>
  </si>
  <si>
    <t>Počet realizací vedoucích ke zvýšení bezpečnosti v dopravě</t>
  </si>
  <si>
    <t>realizace</t>
  </si>
  <si>
    <t xml:space="preserve">7 61 00 </t>
  </si>
  <si>
    <t>Délka nově vybudovaných cyklostezek a cyklotras</t>
  </si>
  <si>
    <t>km</t>
  </si>
  <si>
    <t xml:space="preserve">7 64 01 </t>
  </si>
  <si>
    <t>Počet parkovacích míst pro jízdní kola</t>
  </si>
  <si>
    <t>parkovací místo</t>
  </si>
  <si>
    <t>Podíl cyklistiky na přepravních výkonech</t>
  </si>
  <si>
    <t>7 63 10</t>
  </si>
  <si>
    <t>%</t>
  </si>
  <si>
    <t>výsledek</t>
  </si>
  <si>
    <t xml:space="preserve">Podíl veřejné osobní dopravy na celkových výkonech v osobní dopravě </t>
  </si>
  <si>
    <t>7 51 20</t>
  </si>
  <si>
    <t>1.2. - Technologie pro moderní a efektivní veřejné služby</t>
  </si>
  <si>
    <t xml:space="preserve">5 70 01 </t>
  </si>
  <si>
    <t>Počet nové techniky a věcných prostředků složek IZS</t>
  </si>
  <si>
    <t>5 75 20</t>
  </si>
  <si>
    <t>Počet exponovaných území s nedostatečnou připraveností složek IZS</t>
  </si>
  <si>
    <t>sety</t>
  </si>
  <si>
    <t>území</t>
  </si>
  <si>
    <t>6.3. - Dostupné a kvalitní sociální služby pro širokou veřejnost</t>
  </si>
  <si>
    <t>Počet podpořených zázemí pro služby a sociální práci</t>
  </si>
  <si>
    <t>5 54 01</t>
  </si>
  <si>
    <t>zázemí</t>
  </si>
  <si>
    <t>5 53 01</t>
  </si>
  <si>
    <t>Počet podpořených bytů pro sociální bydlení</t>
  </si>
  <si>
    <t>bytové jednotky</t>
  </si>
  <si>
    <t>6 75 10</t>
  </si>
  <si>
    <t>Kapacita služeb a sociální práce</t>
  </si>
  <si>
    <t>klienti</t>
  </si>
  <si>
    <t>5 53 20</t>
  </si>
  <si>
    <t>Průměrný počet osob využívající sociální bydlení</t>
  </si>
  <si>
    <t>Nárůst kapacity sociálních bytů</t>
  </si>
  <si>
    <t>5 53 10</t>
  </si>
  <si>
    <t>osoby/rok</t>
  </si>
  <si>
    <t xml:space="preserve">4.5. - Podpora zaměstnanosti v sektoru NNO a podpora sociálních podniků                </t>
  </si>
  <si>
    <t>Zvýšení zaměstnanosti v podporovaných podnicích se zaměřením na znevýhodněné skupiny</t>
  </si>
  <si>
    <t>1 04 03</t>
  </si>
  <si>
    <t>FTE</t>
  </si>
  <si>
    <t>výstupový</t>
  </si>
  <si>
    <t xml:space="preserve">1 04 00 </t>
  </si>
  <si>
    <t>Zvýšení zaměstnanosti v podporovaných podnicích</t>
  </si>
  <si>
    <t>Počet podniků pobírajících podporu</t>
  </si>
  <si>
    <t>1 00 00</t>
  </si>
  <si>
    <t>podniky</t>
  </si>
  <si>
    <t>1 01 02</t>
  </si>
  <si>
    <t>Počet podniků pobírajících granty</t>
  </si>
  <si>
    <t>Soukromé investice odpovídající veřejné podpoře podniků (granty)</t>
  </si>
  <si>
    <t>1 03 00</t>
  </si>
  <si>
    <t>EUR</t>
  </si>
  <si>
    <t>Míra nezaměstnanosti osob s nejnižším vzděláním</t>
  </si>
  <si>
    <t>1 04 11</t>
  </si>
  <si>
    <t>výsledkový</t>
  </si>
  <si>
    <t xml:space="preserve">6.1. - Moderní školská a předškolní zařízení  </t>
  </si>
  <si>
    <t>5 00 01</t>
  </si>
  <si>
    <t>Kapacita podporovaných zařízení péče o děti nebo vzdělávacích zařízení</t>
  </si>
  <si>
    <t>osoby</t>
  </si>
  <si>
    <t>Počet podpořených vzdělávacích zařízení</t>
  </si>
  <si>
    <t>5 00 00</t>
  </si>
  <si>
    <t>Zařízení</t>
  </si>
  <si>
    <t>5 00 30</t>
  </si>
  <si>
    <t xml:space="preserve">Podíl osob předčasně opouštějících vzdělávací systém  </t>
  </si>
  <si>
    <t>5 00 20</t>
  </si>
  <si>
    <t>Podíl tříletých dětí umístěných v předškolním zařízení</t>
  </si>
  <si>
    <t>3.4. - Revitalizace kulturních památek včetně památek místního významu</t>
  </si>
  <si>
    <t>9 05 01</t>
  </si>
  <si>
    <t>Počet revitalizovaných památkových objektů</t>
  </si>
  <si>
    <t>Objekty</t>
  </si>
  <si>
    <t>Počet návštěv kulturních památek a paměťových institucí zpřístupněných za vstupné</t>
  </si>
  <si>
    <t>9 10 10</t>
  </si>
  <si>
    <t>Návštěvy/rok</t>
  </si>
  <si>
    <t>Článek 17, odstavec 1., písmeno a) – Investice do zemědělských podniků</t>
  </si>
  <si>
    <t>4.6. - Podpora rozvoje zemědělských, lesnických a potravinářských činností</t>
  </si>
  <si>
    <t>Počet podpořených podniků/příjemců</t>
  </si>
  <si>
    <t>Pracovní místa vytvořená v rámci podpořených projektů (Leader)</t>
  </si>
  <si>
    <t>Článek 17, odstavec 1., písmeno c) – Lesnická infrastruktura</t>
  </si>
  <si>
    <t>Celková délka lesních cest (km)</t>
  </si>
  <si>
    <t>podnik</t>
  </si>
  <si>
    <t>Článek 19, odstavec 1., písmeno b) – Podpora investic na založení nebo rozvoj nezemědělských činností</t>
  </si>
  <si>
    <t>4.3. - Podpora malého a středního podnikání</t>
  </si>
  <si>
    <t>Čl. 26 – Investice do lesnických technologií a zpracování lesnických produktů, jejich mobilizace a uvádění na trh</t>
  </si>
  <si>
    <t>Článek 44 – Činnosti spolupráce v rámci iniciativy LEADER</t>
  </si>
  <si>
    <t>6.5. - Mezisektorová spolupráce subjektů regionu a plánování</t>
  </si>
  <si>
    <t>4.2. - Podpora zaměstnanosti a vzniku pracovních míst</t>
  </si>
  <si>
    <t>Celkový počet účastníků</t>
  </si>
  <si>
    <t>Počet projektů zaměřených na orgány veřejné správy a veřejné služby na celostátní, regionální a místní úrovni</t>
  </si>
  <si>
    <t xml:space="preserve">2.3.1 OPZ - Zvýšit zapojení lokálních aktérů do řešení problémů nezaměstnanosti a sociálního začleňování ve venkovských oblastech
Aktivita: Podpora zaměstnanosti
</t>
  </si>
  <si>
    <t>2.III</t>
  </si>
  <si>
    <t>projekty</t>
  </si>
  <si>
    <t xml:space="preserve">2.3.1 OPZ - Zvýšit zapojení lokálních aktérů do řešení problémů nezaměstnanosti a sociálního začleňování ve venkovských oblastech
Aktivita:  Sociální služby a sociální začleňování
</t>
  </si>
  <si>
    <t>Kapacita podpořených služeb</t>
  </si>
  <si>
    <t>místa</t>
  </si>
  <si>
    <t>Bývalí účastníci projektů sociálních služeb, u nichž služba naplnila svůj účel</t>
  </si>
  <si>
    <t>Využívání podpořených služeb</t>
  </si>
  <si>
    <t>Počet podpořených komunitních center</t>
  </si>
  <si>
    <t xml:space="preserve">2.3.1 OPZ - Zvýšit zapojení lokálních aktérů do řešení problémů nezaměstnanosti a sociálního začleňování ve venkovských oblastech
Aktivita: Sociální podnikání
</t>
  </si>
  <si>
    <t xml:space="preserve">2.3.1 OPZ - Zvýšit zapojení lokálních aktérů do řešení problémů nezaměstnanosti a sociálního začleňování ve venkovských oblastech
Aktivita: Slaďování rodinného a profesního života
</t>
  </si>
  <si>
    <t xml:space="preserve"> výstupový</t>
  </si>
  <si>
    <t>Počet projektů, které zcela nebo zčásti provádějí sociální partneři nebo nevládní organizace</t>
  </si>
  <si>
    <t>organizace</t>
  </si>
  <si>
    <t>Počet sociálních podniků vzniklých díky podpoře</t>
  </si>
  <si>
    <t>4.5. - Podpora zaměstnanosti v sektoru NNO a podpora sociálních podniků</t>
  </si>
  <si>
    <t>dle Metodiky pro tvorbu Fichí není stanoven závazný indikátor, do systému MS2014+ zadán indikátor výstupu 9 25 01 Celkové veřejné výdaje (O.1) - 46 782 EUR (přepočteno ze stanovené alokace na projekty spolupráce 1 265,00 tis. Kč)</t>
  </si>
  <si>
    <t>Celkem 2016</t>
  </si>
  <si>
    <t>Celkem 2017</t>
  </si>
  <si>
    <t>Celkem 2018</t>
  </si>
  <si>
    <t>Celkem 2019</t>
  </si>
  <si>
    <t>CELKEM 2020</t>
  </si>
  <si>
    <t>CELKEM 2021</t>
  </si>
  <si>
    <t>CELKEM 2022</t>
  </si>
  <si>
    <t>CELKEM 2023</t>
  </si>
  <si>
    <t>CELKEM 2016 - 2023</t>
  </si>
  <si>
    <t>Celkem za celé období 2016 - 2023 CLLD</t>
  </si>
  <si>
    <t>6.3.1.A. Investice do infrastruktury pro služby vedoucí k sociální inkluzi</t>
  </si>
  <si>
    <t>1.2.2.A. Investice do akceschopnosti složek IZS</t>
  </si>
  <si>
    <t>4.5.1.A. Podpora zázemí sociálních podniků</t>
  </si>
  <si>
    <t>6.1.1.A. Investice do kapacit a kvality škol a školek</t>
  </si>
  <si>
    <t>3.4.1.A. Investice do revitalizace hmotných památek</t>
  </si>
  <si>
    <t>4.6.1.A. Podpora konkurenceschopnosti místních zemědělců</t>
  </si>
  <si>
    <t>4.6.4.A. Zlepšování lesnické infrastruktury</t>
  </si>
  <si>
    <t>4.3.1.A. Zvyšování konkurenceschopnosti nezemědělských podnikatelů</t>
  </si>
  <si>
    <t>4.6.2.A. Podpora konkurenceschopnosti lesního hospodářství a lesnických produktů</t>
  </si>
  <si>
    <t>6.5.1.A. Podpora komunitně vedeného místního rozvoje</t>
  </si>
  <si>
    <t>4.2.1.A. Veřejná podpora podmínek pro nárůst zaměstnanosti</t>
  </si>
  <si>
    <t>6.3.2.A. Podpora poskytování sociálních a inkluzivních služeb</t>
  </si>
  <si>
    <t>4.2.2.A. Podpora pro-rodinných opatření</t>
  </si>
  <si>
    <t>4.5.2.A. Podpora činností vedoucích k rozvoji sociálních podniků</t>
  </si>
  <si>
    <t>4.2.2. A.Podpora pro-rodinných opatření</t>
  </si>
  <si>
    <t>Sociální služby a sociální začleňování</t>
  </si>
  <si>
    <t>9d</t>
  </si>
  <si>
    <t>4.1 Posílení komunitně vedeného
místního rozvoje za účelem zvýšení
kvality života ve venkovských oblastech
a aktivizace místního potenciálu</t>
  </si>
  <si>
    <t>6b</t>
  </si>
  <si>
    <t>19.2.1. Podpora provádění operací v
rámci strategie komunitně
vedeného místního rozvoje</t>
  </si>
  <si>
    <t>19.3.1. Příprava a provádění činností
spolupráce místní akční skupiny</t>
  </si>
  <si>
    <t xml:space="preserve">2.3.1 Zvýšit zapojení lokálních aktérů do řešení problémů nezaměstnanosti a sociálního začleňování
ve venkovských oblastech </t>
  </si>
  <si>
    <t>4</t>
  </si>
  <si>
    <t>4.1.</t>
  </si>
  <si>
    <t>MAS převzala hodnoty z Programového dokumentu IROP.</t>
  </si>
  <si>
    <t xml:space="preserve">Předmět pořízení: Výchozí hodnota indikátoru byla stanovena na základě výstupu z šetření kapacit zařízení sociálních služeb území MAS. V rámci něj byly hodnoceny kapacity služeb a sociální práce dostupné občanům obcí na území místní akční skupiny. 
Cílová hodnota: Budoucí hodnota (tj. přírůstek 15 osob) byla stanovena jako kvalifikovaný odhad, který bere v úvahu očekávaný rozvoj tohoto segmentu v letech 2015 - 2023 na základě zvyšování nabídky služeb plynoucího z projektů realizovaných přes MAS ze zdrojů IROP. Část podpořených aktivit povede zřejmě spíše ke zlepšení kvality poskytovaných služeb, než ke zvyšování jejich kapacit. Předpokládáme, že každé ze dvou podpořených zařízení bude poskytovat min. 1 sociální službu dle zákona č. . 108/2006 Sb. Pokud jde o maximální okamžitou kapacitu (počet klientů) před a po realizaci projektu, na obou hodnotách se dle předpokladu bude cca jedou třetinou podílet podpořené zázemí v rámci aktivity „Infrastruktura pro dostupnost a rozvoj sociální služby“ (přírůstek kapacity cca 5 osob) a dvěma třetinami podpořené zázemí v rámci aktivity „Podpora rozvoje infrastruktury komunitních center (nepolyfunkčních) za účelem sociálního začleňování a zvýšení uplatnitelnosti na trhu práce“ (přírůstek kapacity cca 10 osob).
</t>
  </si>
  <si>
    <t xml:space="preserve"> 5 54 02</t>
  </si>
  <si>
    <t>Počet poskytovaných druhů sociálních služeb</t>
  </si>
  <si>
    <t>služby</t>
  </si>
  <si>
    <t xml:space="preserve">Cílová hodnota: Předpokládáme, že každé ze dvou podpořených zařízení bude poskytovat min. 1 sociální službu dle zákona č. . 108/2006 Sb. Celkem je tedy cílová hodnota stanovena na 2 druhy sociálních sužeb.
</t>
  </si>
  <si>
    <t>lůžka</t>
  </si>
  <si>
    <t xml:space="preserve">Předmět pořízení: Při vyhledávání způsobilých a žadatelů, kteří by v budoucnu mohli mít zájem o realizaci projektů rozvoje sociálního podnikání ze zdrojů IROP, byly identifikován  potenciální projekt zřícení sociální dílny pro nezaměstnané (sociálně vyloučené osoby).
Cílová hodnota:  Vzhledem ke skutečnosti, že mnoho konceptů sociálního podnikání se na území MAS nachází spíše ve fázi podnikatelsé ideje i a vzhledem k dalším možnostem žadatelů i zdrojům MAS z IROP byla finální hodnota indikátoru stanovena na 1.  
Milník k 31. 12. 2018: Vzhledem k časové náročnosti přípravy nového podnikatelského projektu v této oblasti a k očekávanému datu vyhlášení výzvy ze strany MAS neočekáváme finalizaci projektu do konce roku 2018 a tudíž je hodnota milníku k tomuto datu stanovena jako nulová.
</t>
  </si>
  <si>
    <t>1 01 05</t>
  </si>
  <si>
    <t>Počet nových podniků, které dostávají podporu</t>
  </si>
  <si>
    <t>Národní soukromé zdroje připadající na financování rozvoje sociálních podniků jsou 210.530 Kč. Při přepočtu stanoveným měnovým kurzem 27,50 CZK/EUR odpovídá tato částka hodnotě cca 7.656 EUR.</t>
  </si>
  <si>
    <t>9 10 05</t>
  </si>
  <si>
    <t xml:space="preserve">Zvýšení očekávaného počtu návštěv podporovaných kulturních a přírodních památek a atrakcí </t>
  </si>
  <si>
    <t>návštěvy/rok</t>
  </si>
  <si>
    <t xml:space="preserve">Cílová hodnota: Počet návštěvníků zámku v Jaroměřicích nad Rokytnou dosáhl v roce 2014 hodnoty 29.530 návštěvníků. Ex ante odhad zvýšení počtu návštěv této památky v roce následujícím po roce ukončení projektu dosahuje 3 % této hodnoty, tedy nárůst na 30.415 návštěvníků.
</t>
  </si>
  <si>
    <t xml:space="preserve">MAS převzala hodnoty z Programového dokumentu IROP.
</t>
  </si>
  <si>
    <t>Účastníci, kteří získali kvalifikaci po ukončení své účasti</t>
  </si>
  <si>
    <t>Plánované aktivity v rámci tohoto opatření - viz výše popis indikátoru č. 6 00 00.
U předpokládaných projektů se očekává, že min. 1 účastník získá v rámci své účasti kvalifikaci v souladu s definicí tohoto ukazatele:  Potvrzení o kvalifikaci je udíleno na základě formálního prověření znalostí, které ukázalo, že účastník získal kvalifikaci dle předem nastavených standardů. V rámci výzev může být specifikováno, jaké druhy kvalifikací a potvrzení kvalifikací jsou přípustné pro naplňování indikátoru v dané výzvě.</t>
  </si>
  <si>
    <t>Účastníci zaměstnání po ukončení své účasti, včetně OSVČ</t>
  </si>
  <si>
    <t>Plánované aktivity v rámci tohoto opatření - viz výše popis indikátoru č. 6 00 00.
U předpokládaných projektů se očekává, že po skončení účasti bude zaměstnáno min. 50 % účastíků, tj. celkem 3 osoby.</t>
  </si>
  <si>
    <t xml:space="preserve">Znevýhodnění účastníci, kteří po ukončení své účasti hledají zaměstnání, jsou v procesu vzdělávání/odborné přípravy, rozšiřují si kvalifikaci nebo jsou zaměstnaní, a to i OSVČ </t>
  </si>
  <si>
    <t>Plánované aktivity v rámci tohoto opatření - viz výše popis indikátoru č. 6 00 00.
U předpokládaných projektů se očekává, že po skončení účasti budou hledat zaměstnání, budou v procesu vzdělávání/odborné přípravy, budou si rozšiřovat kvalifikaci nebo budou zaměstnáni 2 znevýhodnění účastníci.</t>
  </si>
  <si>
    <t>Účastníci zaměstnaní 6 měsíců po ukončení své účasti, včetně OSVČ</t>
  </si>
  <si>
    <t>Plánované aktivity v rámci tohoto opatření - viz výše popis indikátoru č. 6 00 00.
U předpokládaných projektů se očekává, že 6 měsíců po skončení účasti bude zaměstnáno min. 50 % účastníků, tj. celkem 3 osoby.</t>
  </si>
  <si>
    <t>Účastníci ve věku nad 54 let zaměstnaní  6 měsíců po ukončení své účasti,  včetně OSVČ</t>
  </si>
  <si>
    <t>Plánované aktivity v rámci tohoto opatření - viz výše popis indikátoru č. 6 00 00.
U předpokládaných projektů se očekává, že 6 měsíců po skončení účasti bude zaměstnán min. 1 účastník ve věku nad 54 let.</t>
  </si>
  <si>
    <t xml:space="preserve">Znevýhodnění účastníci zaměstnaní 6 měsíců po ukončení své účasti včetně OSVČ </t>
  </si>
  <si>
    <t>Plánované aktivity v rámci tohoto opatření - viz výše popis indikátoru č. 6 00 00.
U předpokládaných projektů se očekává, že 6 měsíců po skončení účasti bude zaměstnán min. 1 znevýhodněný účastník.</t>
  </si>
  <si>
    <t>Počet zaměstnavatelů, kteří podporují flexibilní formy práce</t>
  </si>
  <si>
    <t xml:space="preserve">Plánované aktivity v rámci tohoto opatření - viz výše popis indikátoru č. 6 00 00.
Jednou z podporovaných aktivit bude zřízení pracovního místa s flexibilní formou zaměstnávání. Kromě toho lze nové zavedení některé z definovaných flexibilních forem práce očekávat také ze strany realizátorů projektu zaměřených na druhou ativitu "podpora vytváření pracovních míst". Vzhledem ke skutečnosti, že zaměstnavatel se do hodnoty daného indikátoru započítá pouze tehdy, pokud alespoň jednu z definovaných flexibilních forem práce před zahájením projektu nevyužíval, odhadujeme počet zaměstnavatelů s nově zavedenou flexibilní forou práce na 1. 
</t>
  </si>
  <si>
    <t>Počet osob pracujících v rámci flexibilních forem práce</t>
  </si>
  <si>
    <t>Plánované aktivity v rámci tohoto opatření - viz výše popis indikátoru č. 6 00 00.
Jednou z podporovaných aktivit bude zřízení pracovního místa s flexibilní formou zaměstnávání - počítá se min. s 1 účastníkem zapojeným do této aktivity. Počet osob pracujících v rámci flexilních forem práce je proto stanoven na 1.</t>
  </si>
  <si>
    <t>Plánované aktivity v rámci tohoto opatření - viz výše popis indikátoru č. 6 00 00.
Předpokládá se, že nositeli velké části projektů v opatření Veřejná podpora podmínek pro nárůst zaměstnanosti budou obce a proto byla hodnota indikátoru nastavena na 3.</t>
  </si>
  <si>
    <t>V rámci zjišťování potřeb území v oblasti podpory sociálních a inkluzivních služeb byly identifikovány následující 3 projekty: komunitní centrum a nízkoprahové zařízení, zázemí pro sociální služby a vybudování nízkokapacitní pobytové služby pro lidi se zdravotním postižením. Na základě mapování absorpční kapacity očekáváme realizaci minimálně jednoho projektu v této oblasti, pravděpodobně ve formě komunitního centra, které nabízí také sociální služby. 
Cílová hodnota tohoto indikátoru byla stanovena na 20 a to jako celkový součet předpokládaného počtu účastníků zjištěných projektů. Započítáni jsou účastníci, kteří v těchto projektech budou mít vyšší podporu, než je bagatelní podpora (více jak 40 hodin za celou délku realizace projektu), přičemž půjde o osoby jednoznačně identifikované, u nichž jsou známé osobní údaje ve stanoveném rozsahu (klienti služeb, kteří nebudou anonymní, bude s nimi uzavřena smlouva a zároveň překročí bagatelní podporu).</t>
  </si>
  <si>
    <t>Bývalí účastníci projektů, u nichž intervence formou sociální práce naplnila svůj účel</t>
  </si>
  <si>
    <t xml:space="preserve">Jeden ze zjištěných projektů s vyšší pravděpodobností realizace má být zaměřen na uvedený typ orgánů a proto byla hodnota indikátoru stanovena na 1. Realita bude záviset na skutečně realizovaných projektech, které vzejdou z výběrového procesu. </t>
  </si>
  <si>
    <t xml:space="preserve">V rámci analýzy potřeb a absorpční kapacity území MAS Rokytná v oblasti podpory sociálních a inkluzivních služeb, předpokládáme podporu min. 1 projektu, viz indikátor 62000 - projekty zaměřené na sociální práci včetně sociálních služeb. 
Je pravděpodobné, že skutečné složení žadatelů a charakter předkládaných projektů budou v budoucnu po vyhlášení výzvy v některých aspektech odlišné od výsledků mapování absorpční kapacity. Tyto výsledky avšak lze považovat za dostatečný podklad pro expertní odhad, který sloužil k nastavení indikátoru pro toto opatření.
Cílová hodnota tohoto indikátoru byla stanovena na 15 a to jako celkový součet předpokládaných kapacit podpořených služeb v rámci zjištěných projektů. Tato kalkulovaná kapacita vychází z maximálního počtu osob, které budou moci podpořené služby či programy v danou chvíli obsloužit bez ohledu na to, zda se jedná o anonymní klienty, počet účastníků či osoby s bagatelní podporou. Omezení hodnoty indikátoru je dáno velikostí personálu a fyzickými prostorami podpořených projektů.
</t>
  </si>
  <si>
    <t>Na základě mapování absorpční kapacity očekáváme realizaci minimálně jednoho projektu v této oblasti, pravděpodobně ve formě komunitního centra, které nabízí také sociální služby - více viz zdůvodnění indikátoru č. 6 00 00 v rámci tohoto opatření.</t>
  </si>
  <si>
    <t>Počet osob využívajících zařízení péče o děti ve věku do 3 let</t>
  </si>
  <si>
    <t>Počet osob využívajících zařízení péče o děti předškolního věku</t>
  </si>
  <si>
    <t>Počet podpořených zařízení péče o děti předškolního věku</t>
  </si>
  <si>
    <t>Kapacita podpořených zařízení péče o děti nebo vzdělávacích zařízení</t>
  </si>
  <si>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Finální hodnota tohoto indikátoru byla na 1 stanovena na základě předpokladu, že minimálně jeden z projektů bude realizován nestátní neziskovou organizací.
</t>
  </si>
  <si>
    <t>Při zjišťování absorpční kapacity a potřeb území MAS Rokytná v oblasti podpory sociálního podnikání byly identifikovány 2 možné projekty (viz výše). Na základě daného šetření a znalosti situace v území se očekává, že z celkového počtu 2 podpořených sociálních podniků bude 1 podnik nový (tj. vzniklý díky podpoře) a druhý stávající.</t>
  </si>
  <si>
    <t>Počet podpořených již existujících sociálních podniků</t>
  </si>
  <si>
    <t>Při zjišťování absorpční kapacity a potřeb území MAS Rokytná v oblasti podpory sociálního podnikání byly identifikovány 2 možné projekty (viz výše). Na základě daného šetření a znalosti situace v území se očekává, že z celkového počtu 2 podpořených sociálních podniků bude 1 podnik nový a druhý stávající.</t>
  </si>
  <si>
    <t>Plánované aktivity, které mají být realizovány v rámci pravděpodobných projektů, mají aspekt získání nové či zlepšování stávající kvalifikace, jako významné prevence sociálního vyloučení příslušníků cílové skupiny. Očekává se, že tento aspekt se bude týkat min 1/3 podpořených účastníků. Vzhledem k tomuto předpokladu byl cílový počet účastníků, kteří získají kvalifikaci po skončení své účasti, stanoven na 2.</t>
  </si>
  <si>
    <t>Očekává se, že min. 1/3 účastníků podpořených projektů bude zaměstnána i po skončení projektu. Vzhledem k očekávanému počtu účastníků podpořených projektů (viz výše zdůvodnění indikátoru č. 6 00 00) byl tento počet stanoven na 2. Do uvedené hodnoty budou započítáni původně nezaměstnaní nebo neaktivní účastníci intervence, kteří jsou po ukončení účasti v projektu zaměstnaní nebo OSVČ.</t>
  </si>
  <si>
    <t>Znevýhodnění účastníci, kteří po ukončení své účasti hledají zaměstnání, jsou v procesu vzdělávání/odborné přípravy, rozšiřují si kvalifikaci enbo jsou zaměstnaní, a to i OSVČ (osoby)</t>
  </si>
  <si>
    <t xml:space="preserve">Očekává se, že min. 2/3 ze všech znevýhodněných účastníků v rámci podpořených projektů budou po ukončení své účasti hledat zaměstnání, budou v procesu vzdělávání/odborné přípravy, budou si rozšiřovat kvalifikaci nebo budou zaměstnaní. Vzhledem k očekávanému počtu 3 (viz indikátor č. 6 32 00) znevýhodněných účastníků podpořených projektů byl tento počet stanoven na 2. </t>
  </si>
  <si>
    <t>Očekává se, že min. 1/3 účastníků podpořených projektů bude zaměstnána i 6 měsíců po skončení své účasti v projektu. Vzhledem k očekávanému počtu účastníků podpořených projektů (viz výše zdůvodnění indikátoru č. 6 00 00) byl tento počet stanoven na 2. Do uvedené hodnoty budou započítáni původně nezaměstnaní nebo neaktivní účastníci intervence, kteří jsou po ukončení účasti v projektu zaměstnaní nebo OSVČ.</t>
  </si>
  <si>
    <t>Viz zdůvodnění indikátoru č. 62900 - vzhledem ke stanovené hodnotě 2 indikátoru č. 62900, nelze s dostatečnou mírou pravděpodobnosti stanovit, že min. 1 z účastníků zaměstnaných 6 měsíců po ukončení své účasti, bude starší 54 let.</t>
  </si>
  <si>
    <t>Na základě znalosti situace a potřeb území MAS Rokytná v oblasti podpory činností vedoucích k rozvoji sociálních podniků se očekává, že 1 ze všech 3 znevýhodněných účastníků v rámci podpořených projektů bude zaměstnán i 6 měsíců po skončení projektu.</t>
  </si>
  <si>
    <t>Na základě znalosti situace a potřeb území MAS Rokytná v oblasti podpory sociálního podnikání se předpokládá, že min. 1 podpořený projekt bude zaměřen na orgány veřejné správy / veřejné služby na místní úrovni, pravděpodobně obecní úrovni.</t>
  </si>
  <si>
    <t xml:space="preserve">Na základě znalosti situace a potřeb území MAS Rokytná v oblasti podpory sociálního podnikání se předpokládá, že min. 1 podpořený projekt bude realizován nestátní neziskovou organizací.
</t>
  </si>
  <si>
    <t xml:space="preserve">FINANCOVÁNÍ SCLLD V JEDNOTLIVÝCH LETECH PODLE SPECIFICKÝCH CÍLŮ OPERAČNÍCH PROGRAMŮ / OPATŘENÍ EZFRV </t>
  </si>
  <si>
    <t>FINANCOVÁNÍ SCLLD V JEDNOTLIVÝCH LETECH PODLE SPECIFICKÝCH CÍLŮ OPERAČNÍCH PROGRAMŮ / OPATŘENÍ EZFRV   -  2016</t>
  </si>
  <si>
    <t>FINANCOVÁNÍ SCLLD V JEDNOTLIVÝCH LETECH PODLE SPECIFICKÝCH CÍLŮ OPERAČNÍCH PROGRAMŮ / OPATŘENÍ EZFRV   -   2017</t>
  </si>
  <si>
    <t>FINANCOVÁNÍ SCLLD V JEDNOTLIVÝCH LETECH PODLE SPECIFICKÝCH CÍLŮ OPERAČNÍCH PROGRAMŮ / OPATŘENÍ EZFRV    -   2018</t>
  </si>
  <si>
    <t>FINANCOVÁNÍ SCLLD V JEDNOTLIVÝCH LETECH PODLE SPECIFICKÝCH CÍLŮ OPERAČNÍCH PROGRAMŮ / OPATŘENÍ EZFRV    -   2019</t>
  </si>
  <si>
    <t>FINANCOVÁNÍ SCLLD V JEDNOTLIVÝCH LETECH PODLE SPECIFICKÝCH CÍLŮ OPERAČNÍCH PROGRAMŮ / OPATŘENÍ EZFRV    -   2020</t>
  </si>
  <si>
    <t>FINANCOVÁNÍ SCLLD V JEDNOTLIVÝCH LETECH PODLE SPECIFICKÝCH CÍLŮ OPERAČNÍCH PROGRAMŮ / OPATŘENÍ EZFRV    -   2021</t>
  </si>
  <si>
    <t>FINANCOVÁNÍ SCLLD V JEDNOTLIVÝCH LETECH PODLE SPECIFICKÝCH CÍLŮ OPERAČNÍCH PROGRAMŮ / OPATŘENÍ EZFRV    -   2022</t>
  </si>
  <si>
    <t>FINANCOVÁNÍ SCLLD V JEDNOTLIVÝCH LETECH PODLE SPECIFICKÝCH CÍLŮ OPERAČNÍCH PROGRAMŮ / OPATŘENÍ EZFRV    -   2023</t>
  </si>
  <si>
    <t>CELKEM   2016 - 2023   DLE OPERAČNÍCH PROGRAMŮ / OPATŘENÍ EZFRV</t>
  </si>
  <si>
    <t>Milník
31.12. 2018
je-li ŘO vyžadován</t>
  </si>
  <si>
    <r>
      <t xml:space="preserve">Cílová hodnota indikátoru byly stanovena na základě </t>
    </r>
    <r>
      <rPr>
        <b/>
        <sz val="11"/>
        <color theme="1"/>
        <rFont val="Calibri"/>
        <family val="2"/>
        <charset val="238"/>
        <scheme val="minor"/>
      </rPr>
      <t>kombinace následujících dvou předpokladů</t>
    </r>
    <r>
      <rPr>
        <sz val="11"/>
        <color theme="1"/>
        <rFont val="Calibri"/>
        <family val="2"/>
        <charset val="238"/>
        <scheme val="minor"/>
      </rPr>
      <t xml:space="preserve">: (a) Celkový počet účastníků podpořených projektů v rámci opatření - detailnější popis viz zdůvodnění indikátoru č. 6 00 00 u tohoto opatření. Předpokládá  se přitom, že z uvedených celkových 20 účastníků (tj. identifikovaných osob s nebagatelní podporou) bude u části (cca 3/4, tj. 15 účastníků) intervence realizována formou sociální práce. (b) Dále se předpokládá, že svůj účel intervence naplní u 2/3 z nich tj. u 10. Tím byla stanovena cílová hodnota ukazatele. Realita, tj. ne/naplnění obou uvedených předpokladů  bude záviset na skutečně realizovaných projektech, které vzejdou z výběrového procesu. </t>
    </r>
  </si>
  <si>
    <r>
      <t xml:space="preserve">Cílová hodnota indikátoru byly stanovena na základě </t>
    </r>
    <r>
      <rPr>
        <b/>
        <sz val="11"/>
        <color theme="1"/>
        <rFont val="Calibri"/>
        <family val="2"/>
        <charset val="238"/>
        <scheme val="minor"/>
      </rPr>
      <t>kombinace následujících dvou předpokladů</t>
    </r>
    <r>
      <rPr>
        <sz val="11"/>
        <color theme="1"/>
        <rFont val="Calibri"/>
        <family val="2"/>
        <charset val="238"/>
        <scheme val="minor"/>
      </rPr>
      <t xml:space="preserve">: (a) Celkový počet účastníků podpořených projektů v rámci opatření - detailnější popis viz zdůvodnění indikátoru č. 6 00 00 u tohoto opatření. Předpokládá  se přitom, že z uvedených celkových 20 účastníků (tj. identifikovaných osob s nebagatelní podporou) bude u části (cca 3/4, tj. 15 účastníků) intervence realizována formou sociální práce a z toho 13 konkrétně formou sociálních služeb. (b) Dále se předpokládá, že svůj účel intervence naplní u 3/4 z nich tj. u 10. Tím byla stanovena cílová hodnota ukazatele. Realita, tj. ne/naplnění obou uvedených předpokladů  bude záviset na skutečně realizovaných projektech, které vzejdou z výběrového procesu. </t>
    </r>
  </si>
  <si>
    <r>
      <t xml:space="preserve">Na základě znalosti situace a potřeb území MAS Rokytná v oblasti podpory prorodinných opatření  jsou očekávány především záměry na </t>
    </r>
    <r>
      <rPr>
        <b/>
        <sz val="11"/>
        <color theme="1"/>
        <rFont val="Calibri"/>
        <family val="2"/>
        <charset val="238"/>
        <scheme val="minor"/>
      </rPr>
      <t>realizaci příměstských táborů</t>
    </r>
    <r>
      <rPr>
        <sz val="11"/>
        <color theme="1"/>
        <rFont val="Calibri"/>
        <family val="2"/>
        <charset val="238"/>
        <scheme val="minor"/>
      </rPr>
      <t>. Přestože je teoreticky možné, že podporu na základě reálné budoucí výzvy MAS získá i projekt zaměřený na jiný typ aktivit, vycházelo stanovení očekávaných hodnot indikátorů především z parametrů předpokládaných projektů v oblasti příměstských táborů. Finální hodnota tohoto indikátoru byla na 0 stanovena na základě předpokladu, že podpořené příměstské tábory nebudou nabízet místa pro děti mladší 3 let.</t>
    </r>
  </si>
  <si>
    <r>
      <t>Při zjišťování absorpční kapacity a potřeb území MAS Rokytná v oblasti podpory sociálního podnikání byly identifikovány 2 možné projekty - konkrétně zřícení sociální dílny pro nezaměstnané (sociálně vyloučené osoby) a vytváření podmínek pro vznik a rozvoj sociálních podniků. Na základě</t>
    </r>
    <r>
      <rPr>
        <b/>
        <sz val="11"/>
        <color theme="1"/>
        <rFont val="Calibri"/>
        <family val="2"/>
        <charset val="238"/>
        <scheme val="minor"/>
      </rPr>
      <t xml:space="preserve"> předpokládaného rozsahu</t>
    </r>
    <r>
      <rPr>
        <sz val="11"/>
        <color theme="1"/>
        <rFont val="Calibri"/>
        <family val="2"/>
        <charset val="238"/>
        <scheme val="minor"/>
      </rPr>
      <t xml:space="preserve"> (aktivity a celkový rozpočet) uvedených projektů a předpokládaného počtu </t>
    </r>
    <r>
      <rPr>
        <b/>
        <sz val="11"/>
        <color theme="1"/>
        <rFont val="Calibri"/>
        <family val="2"/>
        <charset val="238"/>
        <scheme val="minor"/>
      </rPr>
      <t>osob z cílových skupin</t>
    </r>
    <r>
      <rPr>
        <sz val="11"/>
        <color theme="1"/>
        <rFont val="Calibri"/>
        <family val="2"/>
        <charset val="238"/>
        <scheme val="minor"/>
      </rPr>
      <t>, kterým bude poskytnuta</t>
    </r>
    <r>
      <rPr>
        <b/>
        <sz val="11"/>
        <color theme="1"/>
        <rFont val="Calibri"/>
        <family val="2"/>
        <charset val="238"/>
        <scheme val="minor"/>
      </rPr>
      <t xml:space="preserve"> nebagatelní podpora </t>
    </r>
    <r>
      <rPr>
        <sz val="11"/>
        <color theme="1"/>
        <rFont val="Calibri"/>
        <family val="2"/>
        <charset val="238"/>
        <scheme val="minor"/>
      </rPr>
      <t xml:space="preserve">(zaměstnávání, vzdělávání, psychosociální podpora apod.) byl celkový počet účastníků stanoven na 6, tj. průměrně 3 osoby na jeden projekt (každá podpořená osoba započítána jednou). </t>
    </r>
  </si>
  <si>
    <t xml:space="preserve">Předmět pořízení: Plány na zbudování bytů pro sociální bydlení reportovaly v době přípravy strategie 2 velké obce na území MAS Rokytná.  V uvedených obcích jde jak o projekty zamřené ja na opravu stávajících objektů, tak na výstavbu nových bytů. Je však pavděpodbné, že zájem v budoucnu díky legislativním změnám projeví také další obce.
Cena za jednotku: Předpokládaná alokace na aktivitu Sociální bydlení je 5,263 mil. Kč. V uvedených obcích jde spíše o nižší jednotky bytů vybudovaných často s využitím stávajících objektů. Celkový plánovaný počet bytů k výstavbě ze zdrojů IROP přes MAS byl stanoven na 7 a to především s ohledem potřebu testování tohoto typu projektů, ale také s ohledem na
předpokládanou investiční náročnost, jiné možnosti financování a dostupné finanční prostředky. U podpořených bytů se počítá s průměrnou cenou 751.000,- Kč/1 bytová jednotka. Tato průměrná cena byla zjištěna na základě průzkumu cen v místě a čas obvyklých. Důvodem vyšších nákladů oproti normativu je zejména to, že plánujeme podpořit rekonstrukce stávajících starších objektů, kdy změna způsobu využití stavebního objektu pro potřeby sociálního bydlení je investičně náročnější než postavení objektu nového. Poznámka - finální hodnota jednotkového nákladu na indikátor vyplyne ze stavebně - technické a realizační dokumentace konkrétních podpořených projektů.
Cílová hodnota: K výstavbě ze zdrojů IROP přes MAS byla cílová hodnota stanovena na 7 a to především s ohledem potřebu testování tohoto typu projektů, ale také s ohledem na předpkládanou investičí náročnost, jiné možnosti financování a dostupné finanční prostředky. 
Milník k 31. 12. 2018: V současné době mají výše specifikované projekty zameřené na investice do sociálního bydlení předpokládané datum ukončení po 31. 12. 2018 (v důsledku časové náročnosti administrativní přípavy, např. výběrových řízení a stavebních prací) a tudíž byla hodnota milníku nastavena na 0. 
</t>
  </si>
  <si>
    <t xml:space="preserve">Cílová hodnota: Výchozí hodnota indikátoru byla stanovena na základě východiska, že koncept sociálního bydlení není v současné době zatím přesně legislativně definován, avšak zákonná definice se v budoucnu očekává. Z toho důvodu a díky odlišnosti stávajících přístupů k tzv. sociálnímu bydlení byla výchozí hodnota tohoto indikátoru pro území MAS stanovena na 0 (tj. sociální byty dle jednotné definice nebyly na území MAS dosud realizovány). Cílová hodnota indikátoru stanovena jako přírůstek ke stávajícímu stavu a to na základě projektů plánovaných k realizaci přes MAS s využitím zdrojů IROP. Jak je uvedeno u indikátorů č. 5 53 01 a č. 5 53 02, je plánována podpora 7 bytů s předpokládanou kapacitou 1 osoby/byt. Přírůstek hodnoty indikátoru č. 5 53 10  Nárůst kapacity sociálních bytů byl proto stanoven na 7.
</t>
  </si>
  <si>
    <r>
      <t>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tedy dětských skupin, vycházelo stanovení očekávaných hodnot indikátoru především z parametrů předpokládaných projektů v oblasti dětských skupin. Finální hodnota byla na 1 stanovena na základě předpokladu, že</t>
    </r>
    <r>
      <rPr>
        <b/>
        <sz val="11"/>
        <color theme="1"/>
        <rFont val="Calibri"/>
        <family val="2"/>
        <charset val="238"/>
        <scheme val="minor"/>
      </rPr>
      <t xml:space="preserve"> min. 1 </t>
    </r>
    <r>
      <rPr>
        <sz val="11"/>
        <color theme="1"/>
        <rFont val="Calibri"/>
        <family val="2"/>
        <charset val="238"/>
        <scheme val="minor"/>
      </rPr>
      <t xml:space="preserve">z podpořených dětských skupin bude </t>
    </r>
    <r>
      <rPr>
        <b/>
        <sz val="11"/>
        <color theme="1"/>
        <rFont val="Calibri"/>
        <family val="2"/>
        <charset val="238"/>
        <scheme val="minor"/>
      </rPr>
      <t xml:space="preserve">nabízet péči </t>
    </r>
    <r>
      <rPr>
        <sz val="11"/>
        <color theme="1"/>
        <rFont val="Calibri"/>
        <family val="2"/>
        <charset val="238"/>
        <scheme val="minor"/>
      </rPr>
      <t xml:space="preserve">(míst pro) děti předškolního věku.
Milník k 31: 12. 2018: neočekáváme realizaci části aktivit zaměřené na předškolní děti do konce roku 2018.
</t>
    </r>
  </si>
  <si>
    <r>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Finální hodnota byla na 10 stanovena na základě předpokládaného využití podpořených služeb - tj. </t>
    </r>
    <r>
      <rPr>
        <b/>
        <sz val="11"/>
        <color theme="1"/>
        <rFont val="Calibri"/>
        <family val="2"/>
        <charset val="238"/>
        <scheme val="minor"/>
      </rPr>
      <t>10 dětí předškolního věku</t>
    </r>
    <r>
      <rPr>
        <sz val="11"/>
        <color theme="1"/>
        <rFont val="Calibri"/>
        <family val="2"/>
        <charset val="238"/>
        <scheme val="minor"/>
      </rPr>
      <t xml:space="preserve"> (a tedy 10 osob z řad rodičů, kteří mohou být v zaměstnání) z celkové disponibilní kapacity 52 dětí.
Milník k 31: 12. 2018: neočekáváme realizaci části aktivit zaměřené na předškolní děti do konce roku 2018.</t>
    </r>
  </si>
  <si>
    <t xml:space="preserve">Celkový počet klientů očekáváme 65 - z nichž 20 obdrží nebagatelní podporu a jsou zahrnuti pouze v indikátoru 6 00 00 a 45 obdrží bagatelní podporu (popř. jsou anonymní) a jsou zahrnuti v tomto indikátoru. Hodnota indikátoru byla stanovena kvalifikovaným odhadem potencionálního počtů podpořených osob a to na základě rozsahu identifikovaných projektů, které mohou být realizovány.  V úvahu byla brána také velikost populace v rámci na území MAS, která může být klientem příjemců. </t>
  </si>
  <si>
    <t>19.2.1.</t>
  </si>
  <si>
    <t>19.3.1.</t>
  </si>
  <si>
    <t xml:space="preserve"> Příspěvek Unie (v tis. Kč)</t>
  </si>
  <si>
    <t>Národní spolufinancování                  (v tis. Kč)</t>
  </si>
  <si>
    <t>Podpora                                  (v tis. Kč)</t>
  </si>
  <si>
    <t>Celkem ESF</t>
  </si>
  <si>
    <t>E) FINANCOVÁNÍ PODLE JEDNOTLIVÝCH SPECIFICKÝCH CÍLŮ A OPATŘENÍ SCLLD V JEDNOTLIVÝCH LETECH - 2023</t>
  </si>
  <si>
    <t>E) FINANCOVÁNÍ PODLE JEDNOTLIVÝCH SPECIFICKÝCH CÍLŮ A OPATŘENÍ SCLLD V JEDNOTLIVÝCH LETECH - 2022</t>
  </si>
  <si>
    <t>E) FINANCOVÁNÍ PODLE JEDNOTLIVÝCH SPECIFICKÝCH CÍLŮ A OPATŘENÍ SCLLD V JEDNOTLIVÝCH LETECH - 2021</t>
  </si>
  <si>
    <t>E) FINANCOVÁNÍ PODLE JEDNOTLIVÝCH SPECIFICKÝCH CÍLŮ A OPATŘENÍ SCLLD V JEDNOTLIVÝCH LETECH - 2020</t>
  </si>
  <si>
    <t>E) FINANCOVÁNÍ PODLE JEDNOTLIVÝCH SPECIFICKÝCH CÍLŮ A OPATŘENÍ SCLLD V JEDNOTLIVÝCH LETECH - 2019</t>
  </si>
  <si>
    <t>E) FINANCOVÁNÍ PODLE JEDNOTLIVÝCH SPECIFICKÝCH CÍLŮ A OPATŘENÍ SCLLD V JEDNOTLIVÝCH LETECH - 2018</t>
  </si>
  <si>
    <t>E) FINANCOVÁNÍ PODLE JEDNOTLIVÝCH SPECIFICKÝCH CÍLŮ A OPATŘENÍ SCLLD V JEDNOTLIVÝCH LETECH - 2017</t>
  </si>
  <si>
    <t>E) FINANCOVÁNÍ PODLE JEDNOTLIVÝCH SPECIFICKÝCH CÍLŮ A OPATŘENÍ SCLLD V JEDNOTLIVÝCH LETECH - 2016</t>
  </si>
  <si>
    <t>h) Financování podle programů a ESI fondů - 2016</t>
  </si>
  <si>
    <t>h) Financování podle programů a ESI fondů - 2017</t>
  </si>
  <si>
    <t>h) Financování podle programů a ESI fondů  - 2018</t>
  </si>
  <si>
    <t>h) Financování podle programů a ESI fondů  - 2019</t>
  </si>
  <si>
    <t>h) Financování podle programů a ESI fondů  - 2020</t>
  </si>
  <si>
    <t>h) Financování podle programů a ESI fondů  - 2021</t>
  </si>
  <si>
    <t>h) Financování podle programů a ESI fondů - 2022</t>
  </si>
  <si>
    <t>h) Financování podle programů a ESI fondů - 2023</t>
  </si>
  <si>
    <t>h) Financování podle programů a ESI fondů - 2016 - 2023</t>
  </si>
  <si>
    <t>e) FINANCOVÁNÍ PODLE JEDNOTLIVÝCH SPECIFICKÝCH CÍLŮ A OPATŘENÍ SCLLD    -   CELKEM ZA CELÉ OBDOBÍ    2016 - 2023   CLLD</t>
  </si>
  <si>
    <t>f) FINANCOVÁNÍ SCLLD V JEDNOTLIVÝCH LETECH PODLE SPECIFICKÝCH CÍLŮ OPERAČNÍCH PROGRAMŮ / OPATŘENÍ EZFRV   -  2016 - 2023</t>
  </si>
  <si>
    <t>f) FINANCOVÁNÍ SCLLD V JEDNOTLIVÝCH LETECH PODLE SPECIFICKÝCH CÍLŮ OPERAČNÍCH PROGRAMŮ / OPATŘENÍ EZFRV   -  2023</t>
  </si>
  <si>
    <t>f) FINANCOVÁNÍ SCLLD V JEDNOTLIVÝCH LETECH PODLE SPECIFICKÝCH CÍLŮ OPERAČNÍCH PROGRAMŮ / OPATŘENÍ EZFRV   -  2022</t>
  </si>
  <si>
    <t>f) FINANCOVÁNÍ SCLLD V JEDNOTLIVÝCH LETECH PODLE SPECIFICKÝCH CÍLŮ OPERAČNÍCH PROGRAMŮ / OPATŘENÍ EZFRV   -  2021</t>
  </si>
  <si>
    <t>f) FINANCOVÁNÍ SCLLD V JEDNOTLIVÝCH LETECH PODLE SPECIFICKÝCH CÍLŮ OPERAČNÍCH PROGRAMŮ / OPATŘENÍ EZFRV   -  2020</t>
  </si>
  <si>
    <t>f) FINANCOVÁNÍ SCLLD V JEDNOTLIVÝCH LETECH PODLE SPECIFICKÝCH CÍLŮ OPERAČNÍCH PROGRAMŮ / OPATŘENÍ EZFRV   -  2019</t>
  </si>
  <si>
    <t>f) FINANCOVÁNÍ SCLLD V JEDNOTLIVÝCH LETECH PODLE SPECIFICKÝCH CÍLŮ OPERAČNÍCH PROGRAMŮ / OPATŘENÍ EZFRV   -  2018</t>
  </si>
  <si>
    <t>f) FINANCOVÁNÍ SCLLD V JEDNOTLIVÝCH LETECH PODLE SPECIFICKÝCH CÍLŮ OPERAČNÍCH PROGRAMŮ / OPATŘENÍ EZFRV   -  2017</t>
  </si>
  <si>
    <t>f) FINANCOVÁNÍ SCLLD V JEDNOTLIVÝCH LETECH PODLE SPECIFICKÝCH CÍLŮ OPERAČNÍCH PROGRAMŮ / OPATŘENÍ EZFRV   -  2016</t>
  </si>
  <si>
    <t xml:space="preserve">Na základě zjištěných potřeb a absorpční kapacity území MAS Rokytná se v rámci daného opatření očekává realizace následujících dvou aktivit:  a) podpora vytváření nových pracovních míst a b) podpora flexibilních forem zaměstnání. Předpokládá se, že nositeli veké části projektů budou obce na území MAS. Předpokládaná kompozice cekové hodnoty indikátoru je následující: a) 6 zřízených pracovních míst na období cca 2 roky (tj. min 6 podpořených osob); b) 2 zřízené pracovní místo s flexibilní formou zaměstnávání na období cca 2 roky (tj. min. 2 podpořené osoby). 
Z výše uvedeného vyplývají průměrné náklady na jednoho účastníka v maximální výši 652,6 tis. Kč. Výše této poskytované podpory na jednotku indikátoru vyplývá ze plánovaného typu podpory v podobě příspěvků na mzdové náklady na pracovníka.
</t>
  </si>
  <si>
    <t>5</t>
  </si>
  <si>
    <t>Počet osob využívajících zařízení péče o děti do 3 let</t>
  </si>
  <si>
    <t>g) INDIKÁTORY PODLE JEDNOTLIVÝCH SPECIFICKÝCH CÍLŮ A OPATŘENÍ (PŘÍPADNĚ PODOPATŘENÍ) SCLLD -   Za celé období     2016 - 2023</t>
  </si>
  <si>
    <t xml:space="preserve">Cílová hodnota: Výchozí hodnota indikátoru byla stanovena na základě východiska, že koncept sociálního bydlení není v současné době zatím přesně legislativně definován, avšak zákonná definice se v budoucnu očekává. Z toho důvodu a díky odlišnosti stávajících přístupů k tzv. sociálnímu bydlení byla výchozí hodnota tohoto indikátoru pro území MAS stanovena na 0 (tj. sociální byty dle jednotné definice nebyly na území MAS dosud realizovány). Cílová hodnota indikátoru stanovena jako přírůstek ke stávajícímu stavu a to na základě projektů plánovaných k realizaci přes MAS s využitím zdrojů IROP. Jak je uvedeno u indikátoru č. 5 53 01, je plánována podpora 7 bytů. Minimání kapacita každého z těchto bytů (počet lůžek) je jedna osoba (lůžko), přičemž se očekává cca 80 % obložnost. Tudíž byl přírůstek hodnoty indikátoru č. 5 53 20  Průměrný počet osob využívajících sociální bydlení stanoven na 5,6.
</t>
  </si>
  <si>
    <t xml:space="preserve">Předmět pořízení: Při vyhledávání způsobilých a žadatelů, kteří by v budoucnu mohli mít zájem o realizaci projektů rozvoje sociálního podnikání ze zdrojů IROP, byly identifikován  potenciální projekt zřícení sociální dílny pro nezaměstnané (sociálně vyloučené osoby).
Cílová hodnota:  Vzhledem ke skutečnosti, že mnoho konceptů sociálního podnikání se na území MAS nachází spíše ve fázi podnikatelsé ideje i a vzhledem k dalším možnostem žadatelů i zdrojům MAS z IROP byla finální hodnota indikátoru stanovena na 1.  
</t>
  </si>
  <si>
    <t>NE</t>
  </si>
  <si>
    <t xml:space="preserve">Předmět pořízení: V rámci zjišťování potřeb území MAS Rokytná oblasti rozvoje nemotorové dopravy bylo identifikováno 8 projektů s cca 50 % pravděpodobností podání žádosti o financování přes MAS. Cílem těchto projektů je propojení menších sídel s blízkou větší obcí a to prostřednictvím zbudování nových cyklostezek.
Cena za jednotku: Jedná se cca 2,6 km cyklostezek  (cca v objemu 10,92 mil. Kč) Očekávaná průměrná cena za jednotku indikátoru vychází ze zjištěných rozpočtů analyzovaných projektů a dosahuje hodnoty 4,2 mil. Kč za jednotku (Důvodem k nižší hodnotě oproti normativu ŘO IROP jsou technické parametry a konkrétní podmínky v lokalitách realizace stávajících projektů, vycházeli jsme z projektových studií a rozpočtů zpracovaných dle cenové soustavy URS.).  
Cílová hodnota: Z technických parametrů zjištěných možných projektů byla zjištěna očekávaná délka nových cyklostezek v km. V úvahu byl brán také předpoklad možné přípravy dalších obdobných projektů.  Na základě těchto dvou skutečností byla stanovena úhrnná hodnota indikátoru na celkových 2 km. 
</t>
  </si>
  <si>
    <t xml:space="preserve">Předmět pořízení: Při zjišťování potřeb a absorpční kapacity území MAS v oblasti zvyšování připravenosti k řešení a řízení rizik a katastrof byly identifikovány 4 zvažované projekty dvou místních způsobilých jednotek požární ochrany zaměřené na pořízení nové techniky a věcných prostředků (šlo o pořízení  1 x velkokapacitní cisterny 3 mil. Kč a 2x mobilní cisterna - přívěs celkem 0,8 mil. Kč a 1x elektrocentrála 0,3 mil. Kč). Konkrétní složení financovaného setu bude záviset na charakteru vybraného projektu. Ceny byly ověřeny na základě cenového průzkumu v době sběru projektových záměrů na základě orientačních cenových nabídek od potenciálních dodavatelů, předložených ze strany nositelů projektového záměru.
Cena za jednotku: Průměrná Cena za jednotku indikátoru dosahuje 1,025 mil. Kč. Tato hodnota je nižší než stanovený normativ především z důvodů nižších očekávaných nákladů na pořizované vybavení.
Cílová hodnota: Na základě šetření provedeného v území, předpokládaného počtu projektů finálně předložených MAS k financování ze zdrojů IROP a dále na základě celkových disponibilních prostředků byl počet  nové techniky a věcných prostředků složek IZS stanoven na 1 set.
</t>
  </si>
  <si>
    <t xml:space="preserve">Předmět pořízení: Většina plánovaných projektů na straně vzdělávacích zařízení ZŠ je zaměřena na modernizaci konkrétních učeben jazykových, technických a přírodovědných oborů a podporuje v souladu s definicí indikátoru kapacity v řádu 20 - 30 míst. Plánované projekty na straně předškolních vzdělávacích zařízení jsou zaměřeny na modernizaci zařízení a pořízení pomůcek a úprav venkovního prostředí. Projetky infrastruktury pro zájmové a neformální vzdělávání mládeže jsou zaměřeny na modernizaci odborných učeben.
Cílová hodnota:  Hodnota celkové kapacity podpořených vzdělávacích zařízení vychází z kapacit vzdělávacích zařízení, u kterých existuje předpoklad podání způsobilých projektů.   Ze součtu těchto kapacit byla stanovena odhadovaná hodnota indikátoru pro rok 2023 na 150; očekávaný rozpad indikátor na jednotlivá podpořená vzdělávací zařízení: 
- ZŠ: 5x odborná učebna o kapacitě 22 žáků = 110 
- MŠ: dvě zařízení - modernizace prostor a venkovní úpravy, pořízení pomůcek = 30                                                                                                                        - zařízení pro zájmové a neformální vzdělávání mládeže 1x odborná učebna = 10
Skutečné hodnoty vyplynou z konkrétních podpořených projektů.
</t>
  </si>
  <si>
    <t>Jedná se o rodiče dětí, kteří jsou v pracovním procesu a využívají zařízení péče o děti do tří let. Průzkum mezi potenciálními žadateli, kolik osob se bude moci vrátit do zaměstnání. Hodnota indikátorů je dle výše plánováného projektu rovna 1 milionu Kč, v případě hodnoty indikátoru na 1 osobu je hodnota 166,6 tis. Kč. Nulová výchozí hodnota byla nastavena s ohledem na fakt, že v území MAS nejsou žádné jesle či jiné zařízení péče o děti do 3 let.</t>
  </si>
  <si>
    <t xml:space="preserve">Předmět pořízení: Parkovací místa budou mít pravděpodobně podobu stojanů na kola.
Cena za jednotku: Průměrné jednotkové náklady na zřízení jednoho parkovacího místa ve stojanu byly stanoveny na základě cenového šetření nákladů na pořízení stojanů na kola v místě obvyklých v době sběru projektových záměrů - na 2,2 tis. Kč. a byla stanovena na základě šetření cen v místě obvyklých. Průměrné náklady nepřekračují normativ 5 tis. Kč.
Cílová hodnota: Při analýze potřeb území bylo zjištěno, že zřizování parkovacích míst pro jízdní kola lze předpokládat především jako součást aktivit zaměřených na budování cyklostezek a cyklotras a při modernizaci přestupních terminálů ve veřejné dopravě. Vzhledem k očekávanému počtu projektů v těchto oblastech (cca 3) a jejich rozsahu (jeden přestupní terminál a 2 km cyklostezek) byl stanoven předpokládaný počet nově vytvořených parkovacích míst pro jízdní kola na 15. Předpokládané náklady na parkovací místa pro jízdní kola již byly zohledněny v průměrných nákladech přestuních terminálů a cyklostezek
</t>
  </si>
  <si>
    <t xml:space="preserve">Předmět pořízení: Na území MAS se nachází národní kulturní památka zámek Jaroměřice nad Rokytnou, pro kterou je připravováno několik projektů zaměřených na restaurování a obnovu vybraných částí objektu a jeho okolí.
Cena za jednotku: Cena za jednotku odpovídá 2 mil. Kč a reflektuje výši rozpočtů plánovaných projektů, které lze financovat ze zdrojů IROP přes MAS. Cena byla stanovena na základě předběžného rozpočtu stanoveného dle cenové soustavy URS.
Cílová hodnota: Odpovídá počtu způsosobilých památek na území MAS (1).
Milník k 31. 12. 2018: Z míry rozpracovanosti zvažovaných projektů plánovaných k možnému podání k financování přes MAS a z očekávaného časového harmonogramu výzev vyplývá, že žádný z projektů nebude finalizován do 31. 12. 2018. Proto je hodnota milníku ke konci roku 2018 stanovena na 0.
</t>
  </si>
  <si>
    <t xml:space="preserve">Předmět pořízení: V rámci šetření potřeb a projektových záměrů v oblasti přestupních terminálů pro veřejnou dopravu byly identifikovány 2 záměry 2 měst na území MAS na realizaci tohoto typu investice a to na území Moravských Budějovic a na území Jaroměřice nad Rokytnou. 
Cena za jednotku: Předpokládané náklady na jednotku indikátoru (tedy na 1 přestupní terminál) dosahují v průměru 7,43 mil. Kč a jsou stanoveny na základě zjištěných rozpočtů plánovaných projektů, které byly zpracovány k dokumentace pro stavební povolení na záladě cenové soustavy URS.
Cílová hodnota: V následujících letech mohou být identifikovány další obdobné projekty, avšak vzhledem k realizační náročnosti, současným podmínkám možnosti financování těchto projektů přes MAS a celkovým disponibilním zdrojům bylo počet zrealizovaných projektů naplánován na 1. 
Milník k 31. 12. 2018: Kompletní dokončení identifikovaných projektů je plánováno po roce 2018 a proto byla hodnota indikátoru k 31. 12. 2018 stanovena jako nulová.
</t>
  </si>
  <si>
    <r>
      <t xml:space="preserve">Předmět pořízení: Při analýze potřeb území bylo identifikováno 6 - 8 projektů zaměřených především na zvýšení parametrů bezpečnosti cyklistické a pěší dopravy (2x menší projekt v podobě úpravy přechodů pro chodce a 4 - 6 x větší investiční záměry, např. podchody na frekventovaných silnících či komplexní řešení rizikových křižovatek). Tři projekty jsou připraveny do úrovně stavebního řízení, ostatní jsou na úrovni záměru.
Cena za jednotku: Očekávané náklady na jednotku indikátoru dosahují v průměru 3,67 mil. Kč, jedná se o dvě realizace na rekonstrukce chodníků podél komunikace II. a III. třídy spojené s úpravou přechodů pro chodce (v objemu 7 mil - 2x realizace á 1 km á 3,5 mil. Kč) a jednu realizace vybudování podchodu na frekvetované křižovatce (v objemu 4 mil. Kč). Tato částka byla stanovena na základě hodnoty průměrných investičních nákladů analyzovaných plánovaných projektů zpracovaných dle cenové soustavy URS. Celkové náklady na realizace činí 11 mil. Kč / 3 realizace = 3,67 mil. Kč/1 realizace
Cílová hodnota: Vzhledem k realizační náročnosti (požadavky na komplexní řešení bezpečnosti), k podmínkám možnosti financování těchto projektů přes MAS a k celkovým disponibilním zdrojům byl očekávaný počet zrealizovaných projektů naplánován na 1. 
</t>
    </r>
    <r>
      <rPr>
        <sz val="11"/>
        <color rgb="FFFF0000"/>
        <rFont val="Calibri"/>
        <family val="2"/>
        <charset val="238"/>
      </rPr>
      <t/>
    </r>
  </si>
  <si>
    <t>Předmět pořízení: Zjišťování potřeb a plánovaných projektů subjektů na území MAS Rokytná v oblasti sociálního podnikání se zaměřilo na možnosti vytvoření dodatečného pracovního místa v rámci potenciálně podpořených projektů. Při šetření potřeb byl identifikován projekt na zřízení sociální dílny – více viz indikátor č. 1 00 00. (Skutečně podpořený projekt/projekty pak vzejde/vzejdou z výběrového procesu v rámci výzvy MAS).
Cena za jednotku: Celkové způsobilé náklady podpořeného projektu jsou očekávány ve výši cca 4,2 mil. Kč. Průměrné náklady připadající na jedno FTE vycházejí ze zjištěných potřeb potenciálního žadatele z řad sociálních podniků na území MAS. Tyto průměrné náklady odpovídají cenám v regionu obvyklým, protože jsou určeny na základě rozpočtů a parametrů (tj. plánovaného počtu FTE) připravovaného projektu.  Průměrné očekávané náklady na zřízení jednoho pracovního místa kalkulované jako podíl celkové plánované alokace na toto opatření a plánovaného počtu zřízených pracovních míst měřených metodou FTE (tj. 5,0) odpovídají hodnotě 840 Tis. Kč. Výše této jednotkové ceny na jedno zřízené FTE je ovlivněna skutečností, že v případě zřízení nižších jednotek pracovních míst při startu nového investičního projektu připadají na tyto nízké jednotky FTE veškeré vstupní/společné/fixní náklady související s investičním projektem a vstupují tak do výsledné jednotkové ceny.
Cílová hodnota: Zjištěný připravovaný projekt má odhadovaný potenciál vytvoření 5 pracovních míst z toho 2 pro znevýhodněné osoby (měřeno metodou FTE). Hodnota indikátoru č. 1 04 03 tudíž odpovídá 40 % hodnotě indikátoru č. 1 04 00).</t>
  </si>
  <si>
    <t xml:space="preserve">Předmět pořízení: Zjišťování potřeb a plánovaných projektů subjektů na území MAS Rokytná v oblasti sociálního podnikání se zaměřilo na možnosti vytvoření dodatečného pracovního místa v rámci potenciálně podpořených projektů. Při šetření potřeb byl identifikován projekt na zřízení sociální dílny – více viz indikátor č. 1 00 00. (Skutečně podpořený projekt/projekty pak vzejde/vzejdou z výběrového procesu v rámci výzvy MAS).
Cena za jednotku: Celkové způsobilé náklady podpořeného projektu jsou očekávány ve výši cca 4,2 mil. Kč. Průměrné náklady připadající na jedno FTE vycházejí ze zjištěných potřeb potenciálního žadatele z řad sociálních podniků na území MAS. Tyto průměrné náklady odpovídají cenám v regionu obvyklým, protože jsou určeny na základě rozpočtů a parametrů (tj. plánovaného počtu FTE) připravovaného projektu.  Průměrné očekávané náklady na zřízení jednoho pracovního místa kalkulované jako podíl celkové plánované alokace na toto opatření a plánovaného počtu zřízených pracovních míst měřených metodou FTE (tj. 5,0) odpovídají hodnotě 840 Til. Kč. Výše této jednotkové ceny na jedno zřízené FTE je ovlivněna skutečností, že v případě zřízení nižších jednotek pracovních míst při startu nového investičního projektu připadají na tyto nízké jednotky FTE veškeré vstupní/společné/fixní náklady související s investičním projektem a vstupují tak do výsledné jednotkové ceny.
Cílová hodnota: Zjištěný připravovaný projekt má odhadovaný potenciál vytvoření 5 pracovních míst z toho 2 pro znevýhodněné osoby (měřeno metodou FTE). Hodnota indikátoru č. 1 04 03 tudíž odpovídá 40 % hodnotě indikátoru č. 1 04 00).
</t>
  </si>
  <si>
    <t>Předmět pořízení: Na základě identifikovaných potřeb vzdělávacích zařízení na území MAS, které mohou být v souladu s cíli IROP financovaných přes MAS, jsou očekávány projekty modernizace či výstavby učeben jazykových a přírodovědných oborů a investice zaměřené na integraci studentů, u předškolních zařízení modernizace prostor zařízení, u MŠ včetně venkovních úprav apod. Většina projektů je situována do venkovského prostředí (menších ZŠ a MŠ). 
Cena za jednotku: Průměrné náklady na jednotku indikátoru vycházejí z očekávaných nákladů uvažovaných projektů financovaných z IROP přes MAS a dosahují cca 1 mil. Kč; (nižší hodnota oproti stanovenému normativu IROP z důvodu v průměru menšího rozsahu realizovaných investic). 
Cílová hodnota: Na základě očekávaných průměrných nákladů podpořených projektů a celkových disponibilníc zdrojů byl počet podpořených vzdělávacích zařízení stanoven na 4. Pokud jde o typ vzdělávacích zařízení, půjde o ZŠ, MŠ, DDM
Milník k 31. 12. 2018: Hodnota milníku vyplývá z předpokládaného data ukončení zvažovaných projektů. Vzhledem k nutnosti úplného vyúčtování a administrativního uzavření podpory očekáváme, že projekty realizačně ukončené ve druhé polovině roku 2018 nebudou ještě kompletně administrativně vypořádány (a tedy započteny do hodnoty indikátoru) k 31. 12. 2018. Na základě uvedených skutečností byla hodnota indikátoru k 31. 12. 2018 nastavena na 25 % celkové hodnoty indikátoru, tedy na 1.</t>
  </si>
  <si>
    <t xml:space="preserve">Předmět pořízení: V rámci zjišťování potřeb území v oblasti infrastruktury pro služby vedoucí k sociální inkluzi byly identifikovány následující 3 projekty: komunitní centrum a nízkoprahové zařízení, zázemí pro sociální služby poskytované v domově pro seniory (nejedná se o sociální služby výhradně pro seniory, ale o sociální služby poskytované široké cílové skupině) a vybudování nízkokapacitní pobytové služby pro lidi se zdravotním postižením. Na základě mapování absorpční kapacity očekáváme realizaci jednoho projektu v rámci aktivity „Podpora rozvoje infrastruktury komunitních center (nepolyfunkčních) za účelem sociálního začleňování a zvýšení uplatnitelnosti na trhu práce“ a jednoho projektu v rámci aktivity „Infrastruktura pro dostupnost a rozvoj sociální služby“. Předpokladem je, že obě zařízení budou poskytovat alespoň 1 službu dle zákona č.  č. . 108/2006 Sb. 
Cena za jednotku: celková alokace na výše uvedené dvě aktivity činí 2,032 mil. Kč, přičemž odhadovaná alokace na aktivitu (1 podpořené zařízení/zázemí) „Podpora rozvoje infrastruktury komunitních center (nepolyfunkčních) za účelem sociálního začleňování a zvýšení uplatnitelnosti na trhu práce“ z toho tvoří cca 1,532 mil. Kč (navýšení kapacity počtu osob využívajících zázemí komunitního charakteru je 10 osob, průměr na 1 osobu 153,2 tis. Kč) a odhadovaná alokace na aktivitu (1 podpořené zařízení/zázemí) „Infrastruktura pro dostupnost a rozvoj sociální služby“ tvoří cca 0,5 mil. Kč. Skutečné rozdělení alokace bude závislé na výsledku výběrového procesu. Tyto ceny byly stanoveny s použitím porovnání cen v realizovaných a tematicky a rozsahem totožných projektech a dále na základě dílčích položek identifikovaných projektů.
Cílová hodnota: Byla stanovena na 2, protože očekáváme realizaci jednoho projektu v rámci aktivity „Podpora rozvoje infrastruktury komunitních center (nepolyfunkčních) za účelem sociálního začleňování a zvýšení uplatnitelnosti na trhu práce“ a jednoho projektu v rámci aktivity „Infrastruktura pro dostupnost a rozvoj sociální služby“.
</t>
  </si>
  <si>
    <t>2.3.1.</t>
  </si>
  <si>
    <r>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indikátorů především z parametrů předpokládaných projektů v oblasti příměstských táborů. Dle výsledu mapování projektů vycházíme z předpokladu, realizace 6-ti turnusů příměstských táborů v průběhu 3 let.
Celkový počet účastníků je stanoven na 52 jako celkový počet podpořených osob - ve smyslu </t>
    </r>
    <r>
      <rPr>
        <b/>
        <sz val="11"/>
        <color theme="1"/>
        <rFont val="Calibri"/>
        <family val="2"/>
        <charset val="238"/>
        <scheme val="minor"/>
      </rPr>
      <t>počtu rodičů</t>
    </r>
    <r>
      <rPr>
        <sz val="11"/>
        <color theme="1"/>
        <rFont val="Calibri"/>
        <family val="2"/>
        <charset val="238"/>
        <scheme val="minor"/>
      </rPr>
      <t>, kteří díky umístění svého dítěte mohou být v zaměstnání. V souladu s definicí indikátoru je každá osoba (rodič) započítána pouze jednou bez ohledu na to, kolik podpor obdržela (např. turnusů umístění svého dítěte - předpokládáme minimální počet 6-ti turnusů s kapacitou minimálně 10 dětí při jednotlivém turnusu). Při předpokladu, že se některé děti účastní opakovaně nebo se jedná o sourozence, předpoklad celkového počtu účatníků je 52 osob. 
Milník k 31: 12. 2018: očekáváme realizaci první části aktivit odpovídající přibližně čtvrtině stanoveného cíle v roce 2018.</t>
    </r>
  </si>
  <si>
    <t>Počet osob pracujíícch v rámci flexibilních forem práce</t>
  </si>
  <si>
    <t>výsledku</t>
  </si>
  <si>
    <t>zařízení</t>
  </si>
  <si>
    <t>Počet napsaných a zveřejněných analytických  strategických materiálů (vč. evaluačních)</t>
  </si>
  <si>
    <t>dokument</t>
  </si>
  <si>
    <t>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Dle výsledu mapování projektů vycházíme z předpokladu, realizace 6-ti turnusů příměstských táborů v průběhu 3 let (délka projektu 3 roky, počet turnusů v roce minimálně 2 turnusy). Ze šetření vyplynulo, že průměrné minimální vytížení je 86%.  Celkový počet účastníků je stanoven na 52 jako celkový počet podpořených osob - ve smyslu počtu rodičů, kteří díky umístění svého dítěte mohou být v zaměstnání. V souladu s definicí indikátoru je každá osoba (rodič) započítána pouze jednou bez ohledu na to, kolik podpor obdržela (např. turnusů umístění svého dítěte - předpokládáme minimální počet 6-ti turnusů s kapacitou minimálně 10 dětí při jednotlivém turnusu). Při předpokladu, že se některé děti účastní opakovaně nebo se jedná o sourozence, předpoklad celkového počtu účastníků je 52 osob.  Tato hodnota vychází z odhadu absorpční kapacity a poptávky po tomto typu aktivit v území (především ve větších sídlech a jejich okolí).</t>
  </si>
  <si>
    <t>Na základě znalosti situace a potřeb území MAS Rokytná v oblasti podpory prorodinných opatření  jsou očekávány především záměry na realizaci příměstských táborů. Není předpoklad dopadu na zaměstnavatele pro vytváření flexibilních forem práce.</t>
  </si>
  <si>
    <t>Na základě provedené analýzy a průzkumu potenciálních projektu, se ukázalo, že bude očekáváná především realizace příměstských táborů. MAS nepředpokládá dopad do oblasti zvyšování kvalifikace ve vztahu k účastníkům.</t>
  </si>
  <si>
    <t>Na základě provedené analýzy a průzkumu potenciálních projektu, se ukázalo, že bude očekáváná především realizace příměstských táborů. MAS nepředpokládá přímý dopad na účastníky ve vztahu k nalezení zaměstnání, vstupu do procesu vzdělávání nebo odborné přípravy či rozšíření vlastní kvalifikace.</t>
  </si>
  <si>
    <t>Znevýchodnněí účastníci, kteří po ukončení své účasti hledají zaměsstnání, jsou v procesu vzdělávání/odborné přípravy, rozšiřují si kvalifikaci nebou jsou zaměstnaní, a to i OSVČ</t>
  </si>
  <si>
    <t>MAS nepředpokládá tvorbu analytických strategických materiálů mapujících situaci na trhu s nabídkou umístění dětí v době mimoškolních aktivit ve vztahu k potřebám zaměstnaných rodičů.                                                                                                                  Milník k 31: 12. 2018: neočekáváme realizaci strategických materiálů konce roku 2018.</t>
  </si>
  <si>
    <t>Vzhledem k výstupům šetření je očekávána především podpora příměstských táborů, MAS nepředpokládá, že účastníci získají možnost pracovat v rámci flexibilních forem práce.                                                                                                                                                                                                                Milník k 31: 12. 2018: neočekáváme realizaci části aktivit zaměřené flexibilní formy práce do konce roku 2018.</t>
  </si>
  <si>
    <t xml:space="preserve">Účastníci zaměstnaní 6 měsíců po ukončení své účasti, včetně OSVČ </t>
  </si>
  <si>
    <t>Na základě provedené analýzy a průzkumu potenciálních projektu, se ukázalo, že bude očekáváná především realizace příměstských táborů. MAS nepředpokládá přímý dopad na účastníky ve vztahu k nalezení zaměstnání.</t>
  </si>
  <si>
    <t xml:space="preserve">Znevýhodnění účastníci ve věku nad 54 let zaměstnaní 6 měsíců po ukončení své účasti, včetně OSVČ </t>
  </si>
  <si>
    <t>Účastníci zaměstnaní po ukončení své účasti, včetně OSVČ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</si>
</sst>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
    <numFmt numFmtId="166" formatCode="0.0"/>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7"/>
      <color theme="1"/>
      <name val="Calibri"/>
      <family val="2"/>
      <charset val="238"/>
      <scheme val="minor"/>
    </font>
    <font>
      <sz val="7"/>
      <color theme="1"/>
      <name val="Calibri"/>
      <family val="2"/>
      <charset val="238"/>
      <scheme val="minor"/>
    </font>
    <font>
      <b/>
      <sz val="7"/>
      <color rgb="FFFFFFFF"/>
      <name val="Calibri"/>
      <family val="2"/>
      <charset val="238"/>
      <scheme val="minor"/>
    </font>
    <font>
      <sz val="11"/>
      <color indexed="8"/>
      <name val="Calibri"/>
      <family val="2"/>
      <charset val="238"/>
    </font>
    <font>
      <b/>
      <sz val="9"/>
      <color rgb="FFFFFFFF"/>
      <name val="Calibri"/>
      <family val="2"/>
      <charset val="238"/>
      <scheme val="minor"/>
    </font>
    <font>
      <sz val="9"/>
      <color theme="1"/>
      <name val="Calibri"/>
      <family val="2"/>
      <charset val="238"/>
      <scheme val="minor"/>
    </font>
    <font>
      <b/>
      <sz val="9"/>
      <color theme="1"/>
      <name val="Calibri"/>
      <family val="2"/>
      <charset val="238"/>
      <scheme val="minor"/>
    </font>
    <font>
      <sz val="8"/>
      <color theme="1"/>
      <name val="Calibri"/>
      <family val="2"/>
      <charset val="238"/>
      <scheme val="minor"/>
    </font>
    <font>
      <sz val="9"/>
      <color indexed="81"/>
      <name val="Tahoma"/>
      <family val="2"/>
      <charset val="238"/>
    </font>
    <font>
      <b/>
      <sz val="9"/>
      <name val="Calibri"/>
      <family val="2"/>
      <charset val="238"/>
      <scheme val="minor"/>
    </font>
    <font>
      <b/>
      <sz val="12"/>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charset val="238"/>
      <scheme val="minor"/>
    </font>
    <font>
      <b/>
      <sz val="10"/>
      <color rgb="FFFFFFFF"/>
      <name val="Calibri"/>
      <family val="2"/>
      <charset val="238"/>
      <scheme val="minor"/>
    </font>
    <font>
      <sz val="10"/>
      <name val="Calibri"/>
      <family val="2"/>
      <charset val="238"/>
      <scheme val="minor"/>
    </font>
    <font>
      <b/>
      <sz val="10"/>
      <color rgb="FFFF0000"/>
      <name val="Calibri"/>
      <family val="2"/>
      <charset val="238"/>
      <scheme val="minor"/>
    </font>
    <font>
      <sz val="9"/>
      <name val="Calibri"/>
      <family val="2"/>
      <charset val="238"/>
      <scheme val="minor"/>
    </font>
    <font>
      <sz val="11"/>
      <color rgb="FFFF0000"/>
      <name val="Calibri"/>
      <family val="2"/>
      <charset val="238"/>
    </font>
    <font>
      <sz val="11"/>
      <name val="Calibri"/>
      <family val="2"/>
      <charset val="238"/>
    </font>
    <font>
      <sz val="11"/>
      <name val="Calibri"/>
      <family val="2"/>
      <charset val="238"/>
      <scheme val="minor"/>
    </font>
    <font>
      <sz val="10"/>
      <name val="Calibri"/>
      <family val="2"/>
      <charset val="238"/>
    </font>
    <font>
      <sz val="9"/>
      <name val="Calibri"/>
      <family val="2"/>
      <charset val="238"/>
    </font>
  </fonts>
  <fills count="10">
    <fill>
      <patternFill patternType="none"/>
    </fill>
    <fill>
      <patternFill patternType="gray125"/>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98480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99">
    <border>
      <left/>
      <right/>
      <top/>
      <bottom/>
      <diagonal/>
    </border>
    <border>
      <left/>
      <right style="medium">
        <color rgb="FFFFFFFF"/>
      </right>
      <top/>
      <bottom style="medium">
        <color indexed="64"/>
      </bottom>
      <diagonal/>
    </border>
    <border>
      <left/>
      <right style="medium">
        <color rgb="FFFFFFFF"/>
      </right>
      <top style="medium">
        <color rgb="FFFFFFFF"/>
      </top>
      <bottom style="medium">
        <color indexed="64"/>
      </bottom>
      <diagonal/>
    </border>
    <border>
      <left/>
      <right style="medium">
        <color rgb="FFFFFFFF"/>
      </right>
      <top/>
      <bottom style="medium">
        <color rgb="FFFFFFFF"/>
      </bottom>
      <diagonal/>
    </border>
    <border>
      <left style="medium">
        <color indexed="64"/>
      </left>
      <right style="medium">
        <color rgb="FFFFFFFF"/>
      </right>
      <top/>
      <bottom/>
      <diagonal/>
    </border>
    <border>
      <left style="medium">
        <color rgb="FFFFFFFF"/>
      </left>
      <right style="medium">
        <color rgb="FFFFFFFF"/>
      </right>
      <top style="medium">
        <color rgb="FFFFFFFF"/>
      </top>
      <bottom/>
      <diagonal/>
    </border>
    <border>
      <left style="medium">
        <color indexed="64"/>
      </left>
      <right style="medium">
        <color rgb="FFFFFFFF"/>
      </right>
      <top style="medium">
        <color rgb="FFFFFFFF"/>
      </top>
      <bottom/>
      <diagonal/>
    </border>
    <border>
      <left style="medium">
        <color rgb="FFFFFFFF"/>
      </left>
      <right style="medium">
        <color rgb="FFFFFFFF"/>
      </right>
      <top/>
      <bottom/>
      <diagonal/>
    </border>
    <border>
      <left style="medium">
        <color rgb="FFFFFFFF"/>
      </left>
      <right/>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indexed="64"/>
      </top>
      <bottom style="medium">
        <color rgb="FFFFFFFF"/>
      </bottom>
      <diagonal/>
    </border>
    <border>
      <left style="medium">
        <color indexed="64"/>
      </left>
      <right/>
      <top style="medium">
        <color indexed="64"/>
      </top>
      <bottom style="medium">
        <color rgb="FFFFFFFF"/>
      </bottom>
      <diagonal/>
    </border>
    <border>
      <left/>
      <right/>
      <top/>
      <bottom style="medium">
        <color rgb="FFFFFFFF"/>
      </bottom>
      <diagonal/>
    </border>
    <border>
      <left style="medium">
        <color indexed="64"/>
      </left>
      <right/>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thick">
        <color rgb="FFFFFFFF"/>
      </right>
      <top style="thick">
        <color rgb="FFFFFFFF"/>
      </top>
      <bottom/>
      <diagonal/>
    </border>
    <border>
      <left/>
      <right style="medium">
        <color rgb="FFFFFFFF"/>
      </right>
      <top/>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
      <left style="medium">
        <color rgb="FFFFFFFF"/>
      </left>
      <right style="thick">
        <color rgb="FFFFFFFF"/>
      </right>
      <top style="medium">
        <color rgb="FFFFFFFF"/>
      </top>
      <bottom/>
      <diagonal/>
    </border>
    <border>
      <left style="medium">
        <color rgb="FFFFFFFF"/>
      </left>
      <right style="thick">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indexed="64"/>
      </left>
      <right/>
      <top/>
      <bottom style="medium">
        <color rgb="FFFFFFFF"/>
      </bottom>
      <diagonal/>
    </border>
    <border>
      <left/>
      <right/>
      <top style="medium">
        <color rgb="FFFFFFFF"/>
      </top>
      <bottom/>
      <diagonal/>
    </border>
    <border>
      <left style="medium">
        <color theme="0"/>
      </left>
      <right style="medium">
        <color rgb="FFFFFFFF"/>
      </right>
      <top style="medium">
        <color rgb="FFFFFFFF"/>
      </top>
      <bottom style="medium">
        <color theme="0"/>
      </bottom>
      <diagonal/>
    </border>
    <border>
      <left style="medium">
        <color theme="0"/>
      </left>
      <right style="medium">
        <color rgb="FFFFFFFF"/>
      </right>
      <top style="medium">
        <color theme="0"/>
      </top>
      <bottom style="medium">
        <color theme="0"/>
      </bottom>
      <diagonal/>
    </border>
    <border>
      <left style="medium">
        <color indexed="64"/>
      </left>
      <right style="medium">
        <color rgb="FFFFFFFF"/>
      </right>
      <top/>
      <bottom style="medium">
        <color theme="0"/>
      </bottom>
      <diagonal/>
    </border>
    <border>
      <left style="medium">
        <color rgb="FFFFFFFF"/>
      </left>
      <right style="medium">
        <color rgb="FFFFFFFF"/>
      </right>
      <top style="medium">
        <color theme="0"/>
      </top>
      <bottom style="medium">
        <color theme="0"/>
      </bottom>
      <diagonal/>
    </border>
    <border>
      <left style="medium">
        <color rgb="FFFFFFFF"/>
      </left>
      <right style="medium">
        <color rgb="FFFFFFFF"/>
      </right>
      <top style="medium">
        <color rgb="FFFFFFFF"/>
      </top>
      <bottom style="medium">
        <color theme="0"/>
      </bottom>
      <diagonal/>
    </border>
    <border>
      <left style="medium">
        <color indexed="64"/>
      </left>
      <right style="medium">
        <color theme="0"/>
      </right>
      <top/>
      <bottom/>
      <diagonal/>
    </border>
    <border>
      <left style="medium">
        <color indexed="64"/>
      </left>
      <right style="medium">
        <color rgb="FFFFFFFF"/>
      </right>
      <top style="medium">
        <color rgb="FFFFFFFF"/>
      </top>
      <bottom style="medium">
        <color auto="1"/>
      </bottom>
      <diagonal/>
    </border>
    <border>
      <left style="medium">
        <color rgb="FFFFFFFF"/>
      </left>
      <right style="medium">
        <color rgb="FFFFFFFF"/>
      </right>
      <top style="medium">
        <color rgb="FFFFFFFF"/>
      </top>
      <bottom style="medium">
        <color auto="1"/>
      </bottom>
      <diagonal/>
    </border>
    <border>
      <left style="medium">
        <color rgb="FFFFFFFF"/>
      </left>
      <right/>
      <top/>
      <bottom/>
      <diagonal/>
    </border>
    <border>
      <left style="medium">
        <color indexed="64"/>
      </left>
      <right style="medium">
        <color theme="0"/>
      </right>
      <top style="medium">
        <color indexed="64"/>
      </top>
      <bottom/>
      <diagonal/>
    </border>
    <border>
      <left/>
      <right style="medium">
        <color rgb="FFFFFFFF"/>
      </right>
      <top style="medium">
        <color indexed="64"/>
      </top>
      <bottom style="medium">
        <color rgb="FFFFFFFF"/>
      </bottom>
      <diagonal/>
    </border>
    <border>
      <left style="medium">
        <color theme="0"/>
      </left>
      <right style="medium">
        <color rgb="FFFFFFFF"/>
      </right>
      <top style="medium">
        <color indexed="64"/>
      </top>
      <bottom style="medium">
        <color theme="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theme="0"/>
      </right>
      <top/>
      <bottom style="medium">
        <color indexed="64"/>
      </bottom>
      <diagonal/>
    </border>
    <border>
      <left style="medium">
        <color theme="0"/>
      </left>
      <right style="medium">
        <color rgb="FFFFFFFF"/>
      </right>
      <top style="medium">
        <color theme="0"/>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FFFFFF"/>
      </left>
      <right/>
      <top style="medium">
        <color indexed="64"/>
      </top>
      <bottom/>
      <diagonal/>
    </border>
    <border>
      <left style="medium">
        <color rgb="FFFFFFFF"/>
      </left>
      <right/>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rgb="FFFFFFFF"/>
      </right>
      <top style="medium">
        <color indexed="64"/>
      </top>
      <bottom style="thin">
        <color theme="0"/>
      </bottom>
      <diagonal/>
    </border>
    <border>
      <left style="medium">
        <color rgb="FFFFFFFF"/>
      </left>
      <right style="medium">
        <color rgb="FFFFFFFF"/>
      </right>
      <top/>
      <bottom style="thin">
        <color theme="0"/>
      </bottom>
      <diagonal/>
    </border>
    <border>
      <left style="medium">
        <color rgb="FFFFFFFF"/>
      </left>
      <right style="thin">
        <color indexed="64"/>
      </right>
      <top style="medium">
        <color rgb="FFFFFFFF"/>
      </top>
      <bottom/>
      <diagonal/>
    </border>
    <border>
      <left style="medium">
        <color rgb="FFFFFFFF"/>
      </left>
      <right style="thin">
        <color indexed="64"/>
      </right>
      <top/>
      <bottom/>
      <diagonal/>
    </border>
    <border>
      <left style="medium">
        <color indexed="64"/>
      </left>
      <right style="medium">
        <color rgb="FFFFFFFF"/>
      </right>
      <top style="medium">
        <color theme="0"/>
      </top>
      <bottom/>
      <diagonal/>
    </border>
    <border>
      <left style="medium">
        <color theme="0"/>
      </left>
      <right style="medium">
        <color rgb="FFFFFFFF"/>
      </right>
      <top style="medium">
        <color rgb="FFFFFFFF"/>
      </top>
      <bottom/>
      <diagonal/>
    </border>
    <border>
      <left style="medium">
        <color theme="0"/>
      </left>
      <right style="medium">
        <color rgb="FFFFFFFF"/>
      </right>
      <top style="medium">
        <color theme="0"/>
      </top>
      <bottom/>
      <diagonal/>
    </border>
    <border>
      <left style="medium">
        <color rgb="FFFFFFFF"/>
      </left>
      <right style="medium">
        <color rgb="FFFFFFFF"/>
      </right>
      <top style="medium">
        <color theme="0"/>
      </top>
      <bottom/>
      <diagonal/>
    </border>
    <border>
      <left style="medium">
        <color rgb="FFFFFFFF"/>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FFFFFF"/>
      </right>
      <top style="medium">
        <color theme="0"/>
      </top>
      <bottom style="medium">
        <color rgb="FFFFFFFF"/>
      </bottom>
      <diagonal/>
    </border>
    <border>
      <left/>
      <right style="medium">
        <color theme="0"/>
      </right>
      <top style="medium">
        <color theme="0"/>
      </top>
      <bottom style="medium">
        <color rgb="FFFFFFFF"/>
      </bottom>
      <diagonal/>
    </border>
    <border>
      <left style="medium">
        <color theme="0"/>
      </left>
      <right style="medium">
        <color theme="0"/>
      </right>
      <top style="medium">
        <color rgb="FFFFFFFF"/>
      </top>
      <bottom/>
      <diagonal/>
    </border>
    <border>
      <left/>
      <right style="medium">
        <color theme="0"/>
      </right>
      <top/>
      <bottom style="medium">
        <color rgb="FFFFFFFF"/>
      </bottom>
      <diagonal/>
    </border>
    <border>
      <left style="medium">
        <color theme="0"/>
      </left>
      <right style="medium">
        <color theme="0"/>
      </right>
      <top style="medium">
        <color rgb="FFFFFFFF"/>
      </top>
      <bottom style="medium">
        <color theme="0"/>
      </bottom>
      <diagonal/>
    </border>
    <border>
      <left/>
      <right style="medium">
        <color rgb="FFFFFFFF"/>
      </right>
      <top/>
      <bottom style="medium">
        <color theme="0"/>
      </bottom>
      <diagonal/>
    </border>
    <border>
      <left/>
      <right style="medium">
        <color theme="0"/>
      </right>
      <top/>
      <bottom style="medium">
        <color theme="0"/>
      </bottom>
      <diagonal/>
    </border>
    <border>
      <left style="medium">
        <color indexed="64"/>
      </left>
      <right style="medium">
        <color rgb="FFFFFFFF"/>
      </right>
      <top style="medium">
        <color rgb="FFFFFFFF"/>
      </top>
      <bottom style="thin">
        <color theme="0"/>
      </bottom>
      <diagonal/>
    </border>
    <border>
      <left style="thin">
        <color theme="0"/>
      </left>
      <right style="medium">
        <color rgb="FFFFFFFF"/>
      </right>
      <top style="medium">
        <color rgb="FFFFFFFF"/>
      </top>
      <bottom style="medium">
        <color theme="0"/>
      </bottom>
      <diagonal/>
    </border>
    <border>
      <left style="medium">
        <color indexed="64"/>
      </left>
      <right style="medium">
        <color rgb="FFFFFFFF"/>
      </right>
      <top style="thin">
        <color theme="0"/>
      </top>
      <bottom style="medium">
        <color rgb="FFFFFFFF"/>
      </bottom>
      <diagonal/>
    </border>
    <border>
      <left style="medium">
        <color indexed="64"/>
      </left>
      <right style="medium">
        <color theme="0"/>
      </right>
      <top style="thin">
        <color theme="0"/>
      </top>
      <bottom style="medium">
        <color indexed="64"/>
      </bottom>
      <diagonal/>
    </border>
    <border>
      <left style="medium">
        <color theme="0"/>
      </left>
      <right style="medium">
        <color theme="0"/>
      </right>
      <top style="medium">
        <color rgb="FFFFFFFF"/>
      </top>
      <bottom style="thin">
        <color theme="0"/>
      </bottom>
      <diagonal/>
    </border>
    <border>
      <left style="medium">
        <color theme="0"/>
      </left>
      <right style="medium">
        <color rgb="FFFFFFFF"/>
      </right>
      <top style="medium">
        <color theme="0"/>
      </top>
      <bottom style="thin">
        <color theme="0"/>
      </bottom>
      <diagonal/>
    </border>
    <border>
      <left style="medium">
        <color theme="0"/>
      </left>
      <right style="medium">
        <color rgb="FFFFFFFF"/>
      </right>
      <top/>
      <bottom style="medium">
        <color indexed="64"/>
      </bottom>
      <diagonal/>
    </border>
    <border>
      <left style="medium">
        <color rgb="FFFFFFFF"/>
      </left>
      <right style="medium">
        <color rgb="FFFFFFFF"/>
      </right>
      <top style="medium">
        <color rgb="FFFFFFFF"/>
      </top>
      <bottom style="thin">
        <color theme="0"/>
      </bottom>
      <diagonal/>
    </border>
    <border>
      <left style="medium">
        <color rgb="FFFFFFFF"/>
      </left>
      <right style="medium">
        <color rgb="FFFFFFFF"/>
      </right>
      <top style="thin">
        <color theme="0"/>
      </top>
      <bottom style="medium">
        <color indexed="64"/>
      </bottom>
      <diagonal/>
    </border>
    <border>
      <left style="medium">
        <color rgb="FFFFFFFF"/>
      </left>
      <right/>
      <top style="thin">
        <color theme="0"/>
      </top>
      <bottom style="thin">
        <color theme="0"/>
      </bottom>
      <diagonal/>
    </border>
    <border>
      <left/>
      <right/>
      <top/>
      <bottom style="thin">
        <color theme="0"/>
      </bottom>
      <diagonal/>
    </border>
    <border>
      <left style="medium">
        <color rgb="FFFFFFFF"/>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style="thin">
        <color theme="0"/>
      </top>
      <bottom style="thin">
        <color theme="0"/>
      </bottom>
      <diagonal/>
    </border>
    <border>
      <left style="medium">
        <color indexed="64"/>
      </left>
      <right style="medium">
        <color theme="0"/>
      </right>
      <top style="medium">
        <color indexed="64"/>
      </top>
      <bottom style="thin">
        <color theme="0"/>
      </bottom>
      <diagonal/>
    </border>
    <border>
      <left/>
      <right/>
      <top/>
      <bottom style="medium">
        <color theme="0"/>
      </bottom>
      <diagonal/>
    </border>
    <border>
      <left/>
      <right style="medium">
        <color theme="0"/>
      </right>
      <top/>
      <bottom/>
      <diagonal/>
    </border>
    <border>
      <left style="medium">
        <color rgb="FFFFFFFF"/>
      </left>
      <right style="medium">
        <color rgb="FFFFFFFF"/>
      </right>
      <top style="thin">
        <color theme="0"/>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theme="0"/>
      </top>
      <bottom style="medium">
        <color rgb="FFFFFFFF"/>
      </bottom>
      <diagonal/>
    </border>
    <border>
      <left style="medium">
        <color rgb="FFFFFFFF"/>
      </left>
      <right/>
      <top style="medium">
        <color theme="0"/>
      </top>
      <bottom style="medium">
        <color rgb="FFFFFFFF"/>
      </bottom>
      <diagonal/>
    </border>
    <border>
      <left style="medium">
        <color theme="0"/>
      </left>
      <right style="medium">
        <color theme="0"/>
      </right>
      <top/>
      <bottom style="thin">
        <color theme="0"/>
      </bottom>
      <diagonal/>
    </border>
    <border>
      <left style="medium">
        <color theme="0"/>
      </left>
      <right/>
      <top/>
      <bottom style="medium">
        <color theme="0"/>
      </bottom>
      <diagonal/>
    </border>
    <border>
      <left style="medium">
        <color theme="0"/>
      </left>
      <right/>
      <top/>
      <bottom/>
      <diagonal/>
    </border>
    <border>
      <left style="medium">
        <color theme="0"/>
      </left>
      <right style="thin">
        <color theme="0"/>
      </right>
      <top style="medium">
        <color theme="0"/>
      </top>
      <bottom style="medium">
        <color theme="0"/>
      </bottom>
      <diagonal/>
    </border>
  </borders>
  <cellStyleXfs count="3">
    <xf numFmtId="0" fontId="0" fillId="0" borderId="0"/>
    <xf numFmtId="0" fontId="1" fillId="0" borderId="0"/>
    <xf numFmtId="0" fontId="6" fillId="0" borderId="0"/>
  </cellStyleXfs>
  <cellXfs count="355">
    <xf numFmtId="0" fontId="0" fillId="0" borderId="0" xfId="0"/>
    <xf numFmtId="0" fontId="1" fillId="0" borderId="0" xfId="1"/>
    <xf numFmtId="0" fontId="1" fillId="0" borderId="0" xfId="1" applyAlignment="1">
      <alignment horizontal="center"/>
    </xf>
    <xf numFmtId="0" fontId="2" fillId="0" borderId="17"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0" borderId="0" xfId="0" applyFont="1"/>
    <xf numFmtId="0" fontId="3" fillId="4" borderId="2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3" xfId="0" applyFont="1" applyFill="1" applyBorder="1" applyAlignment="1">
      <alignment horizontal="center" vertical="center" wrapText="1"/>
    </xf>
    <xf numFmtId="4" fontId="8" fillId="0" borderId="0" xfId="0" applyNumberFormat="1" applyFont="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0" borderId="0" xfId="0" applyAlignment="1">
      <alignment horizontal="center"/>
    </xf>
    <xf numFmtId="0" fontId="3" fillId="4" borderId="21" xfId="1" applyFont="1" applyFill="1" applyBorder="1" applyAlignment="1">
      <alignment horizontal="center" vertical="center" wrapText="1"/>
    </xf>
    <xf numFmtId="0" fontId="3" fillId="2"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2" fillId="0" borderId="16" xfId="0" applyFont="1" applyBorder="1" applyAlignment="1">
      <alignment horizontal="center"/>
    </xf>
    <xf numFmtId="4" fontId="8" fillId="3" borderId="3" xfId="0" applyNumberFormat="1" applyFont="1" applyFill="1" applyBorder="1" applyAlignment="1">
      <alignment horizontal="center" vertical="center" wrapText="1"/>
    </xf>
    <xf numFmtId="4" fontId="8" fillId="3" borderId="21" xfId="0" applyNumberFormat="1" applyFont="1" applyFill="1" applyBorder="1" applyAlignment="1">
      <alignment horizontal="center" vertical="center" wrapText="1"/>
    </xf>
    <xf numFmtId="4" fontId="8" fillId="3" borderId="9" xfId="0" applyNumberFormat="1" applyFont="1" applyFill="1" applyBorder="1" applyAlignment="1">
      <alignment horizontal="center" vertical="center" wrapText="1"/>
    </xf>
    <xf numFmtId="4" fontId="8" fillId="7" borderId="3" xfId="0" applyNumberFormat="1" applyFont="1" applyFill="1" applyBorder="1" applyAlignment="1">
      <alignment horizontal="center" vertical="center" wrapText="1"/>
    </xf>
    <xf numFmtId="4" fontId="8" fillId="7" borderId="9"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4" borderId="9" xfId="0" applyNumberFormat="1" applyFont="1" applyFill="1" applyBorder="1" applyAlignment="1">
      <alignment horizontal="center" vertical="center" wrapText="1"/>
    </xf>
    <xf numFmtId="4" fontId="12" fillId="2" borderId="3" xfId="0" applyNumberFormat="1" applyFont="1" applyFill="1" applyBorder="1" applyAlignment="1">
      <alignment horizontal="center" vertical="center" wrapText="1"/>
    </xf>
    <xf numFmtId="4" fontId="12" fillId="2" borderId="27"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4" fontId="9" fillId="0" borderId="0" xfId="0" applyNumberFormat="1" applyFont="1"/>
    <xf numFmtId="4" fontId="0" fillId="0" borderId="0" xfId="0" applyNumberFormat="1"/>
    <xf numFmtId="0" fontId="0" fillId="0" borderId="42" xfId="0" applyBorder="1"/>
    <xf numFmtId="4" fontId="8" fillId="0" borderId="43" xfId="0" applyNumberFormat="1" applyFont="1" applyBorder="1"/>
    <xf numFmtId="0" fontId="0" fillId="0" borderId="0" xfId="0" applyBorder="1"/>
    <xf numFmtId="4" fontId="8" fillId="0" borderId="44" xfId="0" applyNumberFormat="1" applyFont="1" applyBorder="1"/>
    <xf numFmtId="0" fontId="0" fillId="0" borderId="47" xfId="0" applyBorder="1"/>
    <xf numFmtId="4" fontId="8" fillId="0" borderId="48" xfId="0" applyNumberFormat="1" applyFont="1" applyBorder="1"/>
    <xf numFmtId="0" fontId="10" fillId="0" borderId="42" xfId="0" applyFont="1" applyBorder="1"/>
    <xf numFmtId="0" fontId="10" fillId="0" borderId="47" xfId="0" applyFont="1" applyBorder="1"/>
    <xf numFmtId="0" fontId="10" fillId="0" borderId="0" xfId="0" applyFont="1" applyBorder="1" applyAlignment="1">
      <alignment wrapText="1"/>
    </xf>
    <xf numFmtId="0" fontId="4" fillId="3" borderId="40" xfId="0" applyFont="1" applyFill="1" applyBorder="1" applyAlignment="1">
      <alignment horizontal="center" vertical="center" wrapText="1"/>
    </xf>
    <xf numFmtId="4" fontId="8" fillId="0" borderId="42" xfId="0" applyNumberFormat="1" applyFont="1" applyBorder="1"/>
    <xf numFmtId="0" fontId="0" fillId="0" borderId="43" xfId="0" applyBorder="1"/>
    <xf numFmtId="4" fontId="8" fillId="0" borderId="0" xfId="0" applyNumberFormat="1" applyFont="1" applyBorder="1"/>
    <xf numFmtId="0" fontId="0" fillId="0" borderId="44" xfId="0" applyBorder="1"/>
    <xf numFmtId="4" fontId="8" fillId="0" borderId="47" xfId="0" applyNumberFormat="1" applyFont="1" applyBorder="1"/>
    <xf numFmtId="164" fontId="0" fillId="0" borderId="47" xfId="0" applyNumberFormat="1" applyBorder="1"/>
    <xf numFmtId="0" fontId="0" fillId="0" borderId="48" xfId="0" applyBorder="1"/>
    <xf numFmtId="1" fontId="8" fillId="0" borderId="42" xfId="0" applyNumberFormat="1" applyFont="1" applyBorder="1"/>
    <xf numFmtId="165" fontId="0" fillId="0" borderId="42" xfId="0" applyNumberFormat="1" applyBorder="1"/>
    <xf numFmtId="1" fontId="8" fillId="0" borderId="0" xfId="0" applyNumberFormat="1" applyFont="1" applyBorder="1"/>
    <xf numFmtId="165" fontId="0" fillId="0" borderId="0" xfId="0" applyNumberFormat="1" applyBorder="1"/>
    <xf numFmtId="1" fontId="8" fillId="0" borderId="47" xfId="0" applyNumberFormat="1" applyFont="1" applyBorder="1"/>
    <xf numFmtId="165" fontId="0" fillId="0" borderId="47" xfId="0" applyNumberFormat="1" applyBorder="1"/>
    <xf numFmtId="0" fontId="3" fillId="2"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10" fillId="0" borderId="42" xfId="0" applyFont="1" applyBorder="1" applyAlignment="1"/>
    <xf numFmtId="165" fontId="10" fillId="0" borderId="42" xfId="0" applyNumberFormat="1" applyFont="1" applyBorder="1" applyAlignment="1">
      <alignment wrapText="1"/>
    </xf>
    <xf numFmtId="165" fontId="10" fillId="0" borderId="0" xfId="0" applyNumberFormat="1" applyFont="1" applyBorder="1" applyAlignment="1">
      <alignment wrapText="1"/>
    </xf>
    <xf numFmtId="0" fontId="4" fillId="3" borderId="1" xfId="0" applyFont="1" applyFill="1" applyBorder="1" applyAlignment="1">
      <alignment horizontal="center" vertical="center" wrapText="1"/>
    </xf>
    <xf numFmtId="165" fontId="10" fillId="0" borderId="47" xfId="0" applyNumberFormat="1" applyFont="1" applyBorder="1" applyAlignment="1">
      <alignment wrapText="1"/>
    </xf>
    <xf numFmtId="0" fontId="3" fillId="2" borderId="52" xfId="0" applyFont="1" applyFill="1" applyBorder="1" applyAlignment="1">
      <alignment vertical="center" wrapText="1"/>
    </xf>
    <xf numFmtId="165" fontId="8" fillId="0" borderId="42" xfId="0" applyNumberFormat="1" applyFont="1" applyBorder="1" applyAlignment="1">
      <alignment wrapText="1"/>
    </xf>
    <xf numFmtId="165" fontId="8" fillId="0" borderId="0" xfId="0" applyNumberFormat="1" applyFont="1" applyBorder="1" applyAlignment="1">
      <alignment wrapText="1"/>
    </xf>
    <xf numFmtId="165" fontId="8" fillId="0" borderId="47" xfId="0" applyNumberFormat="1" applyFont="1" applyBorder="1" applyAlignment="1">
      <alignment wrapText="1"/>
    </xf>
    <xf numFmtId="4" fontId="1" fillId="0" borderId="0" xfId="1" applyNumberFormat="1"/>
    <xf numFmtId="0" fontId="16" fillId="0" borderId="0" xfId="1" applyFont="1"/>
    <xf numFmtId="0" fontId="15" fillId="4" borderId="21" xfId="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6" fillId="0" borderId="0" xfId="1" applyFont="1" applyAlignment="1">
      <alignment horizontal="center"/>
    </xf>
    <xf numFmtId="0" fontId="8" fillId="0" borderId="0" xfId="1" applyFont="1"/>
    <xf numFmtId="0" fontId="2" fillId="2" borderId="64" xfId="1" applyFont="1" applyFill="1" applyBorder="1" applyAlignment="1">
      <alignment horizontal="center" vertical="center" wrapText="1"/>
    </xf>
    <xf numFmtId="0" fontId="1" fillId="4" borderId="60" xfId="1" applyFont="1" applyFill="1" applyBorder="1" applyAlignment="1">
      <alignment horizontal="center" vertical="center" wrapText="1"/>
    </xf>
    <xf numFmtId="0" fontId="2" fillId="2" borderId="67" xfId="1" applyFont="1" applyFill="1" applyBorder="1" applyAlignment="1">
      <alignment horizontal="center" vertical="center" wrapText="1"/>
    </xf>
    <xf numFmtId="0" fontId="1" fillId="4" borderId="59" xfId="1" applyFont="1" applyFill="1" applyBorder="1" applyAlignment="1">
      <alignment horizontal="center" vertical="center" wrapText="1"/>
    </xf>
    <xf numFmtId="0" fontId="2" fillId="2" borderId="69" xfId="1" applyFont="1" applyFill="1" applyBorder="1" applyAlignment="1">
      <alignment horizontal="center" vertical="center" wrapText="1"/>
    </xf>
    <xf numFmtId="0" fontId="1" fillId="4" borderId="30" xfId="1" applyFont="1" applyFill="1" applyBorder="1" applyAlignment="1">
      <alignment horizontal="center" vertical="center" wrapText="1"/>
    </xf>
    <xf numFmtId="0" fontId="2" fillId="2" borderId="63" xfId="1" applyFont="1" applyFill="1" applyBorder="1" applyAlignment="1">
      <alignment horizontal="center" vertical="center" wrapText="1"/>
    </xf>
    <xf numFmtId="0" fontId="1" fillId="4" borderId="31"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1" fillId="4" borderId="61"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 fillId="4" borderId="33" xfId="1" applyFont="1" applyFill="1" applyBorder="1" applyAlignment="1">
      <alignment horizontal="center" vertical="center" wrapText="1"/>
    </xf>
    <xf numFmtId="0" fontId="2" fillId="2" borderId="59"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1" fillId="4" borderId="34" xfId="1" applyFont="1" applyFill="1" applyBorder="1" applyAlignment="1">
      <alignment horizontal="center" vertical="center" wrapText="1"/>
    </xf>
    <xf numFmtId="0" fontId="2" fillId="2" borderId="5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 fillId="4" borderId="62" xfId="1" applyFont="1" applyFill="1" applyBorder="1" applyAlignment="1">
      <alignment horizontal="center" vertical="center" wrapText="1"/>
    </xf>
    <xf numFmtId="1" fontId="4" fillId="7" borderId="40" xfId="0" applyNumberFormat="1"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0" xfId="1" applyFont="1" applyFill="1" applyBorder="1" applyAlignment="1">
      <alignment horizontal="center" vertical="center" wrapText="1"/>
    </xf>
    <xf numFmtId="4" fontId="4" fillId="7" borderId="40" xfId="0" applyNumberFormat="1" applyFont="1" applyFill="1" applyBorder="1" applyAlignment="1">
      <alignment horizontal="center" vertical="center" wrapText="1"/>
    </xf>
    <xf numFmtId="2" fontId="4" fillId="7" borderId="40"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7" borderId="3" xfId="1" applyFont="1" applyFill="1" applyBorder="1" applyAlignment="1">
      <alignment horizontal="center" vertical="center" wrapText="1"/>
    </xf>
    <xf numFmtId="4" fontId="4" fillId="7" borderId="3" xfId="0" applyNumberFormat="1" applyFont="1" applyFill="1" applyBorder="1" applyAlignment="1">
      <alignment horizontal="center" vertical="center" wrapText="1"/>
    </xf>
    <xf numFmtId="2" fontId="4" fillId="7" borderId="3"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1" xfId="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40" xfId="0" applyNumberFormat="1" applyFont="1" applyFill="1" applyBorder="1" applyAlignment="1">
      <alignment horizontal="center" vertical="center" wrapText="1"/>
    </xf>
    <xf numFmtId="1" fontId="4" fillId="7" borderId="41" xfId="0" applyNumberFormat="1" applyFont="1" applyFill="1" applyBorder="1" applyAlignment="1">
      <alignment horizontal="center" vertical="center" wrapText="1"/>
    </xf>
    <xf numFmtId="49" fontId="4" fillId="7" borderId="3" xfId="0" applyNumberFormat="1" applyFont="1" applyFill="1" applyBorder="1" applyAlignment="1">
      <alignment horizontal="center" vertical="center" wrapText="1"/>
    </xf>
    <xf numFmtId="1" fontId="4" fillId="7" borderId="3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1" fontId="4" fillId="7" borderId="46" xfId="0" applyNumberFormat="1" applyFont="1" applyFill="1" applyBorder="1" applyAlignment="1">
      <alignment horizontal="center" vertical="center" wrapText="1"/>
    </xf>
    <xf numFmtId="0" fontId="0" fillId="0" borderId="0" xfId="0" applyFill="1" applyBorder="1"/>
    <xf numFmtId="4" fontId="8" fillId="0" borderId="44" xfId="0" applyNumberFormat="1" applyFont="1" applyFill="1" applyBorder="1"/>
    <xf numFmtId="0" fontId="0" fillId="0" borderId="47" xfId="0" applyFill="1" applyBorder="1"/>
    <xf numFmtId="4" fontId="8" fillId="0" borderId="48" xfId="0" applyNumberFormat="1" applyFont="1" applyFill="1" applyBorder="1"/>
    <xf numFmtId="4" fontId="8" fillId="0" borderId="43" xfId="0" applyNumberFormat="1" applyFont="1" applyFill="1" applyBorder="1"/>
    <xf numFmtId="0" fontId="0" fillId="0" borderId="42" xfId="0" applyFill="1" applyBorder="1"/>
    <xf numFmtId="0" fontId="9" fillId="8" borderId="9" xfId="0" applyFont="1" applyFill="1" applyBorder="1" applyAlignment="1">
      <alignment horizontal="center" vertical="center" wrapText="1"/>
    </xf>
    <xf numFmtId="4" fontId="8" fillId="8" borderId="3" xfId="0" applyNumberFormat="1" applyFont="1" applyFill="1" applyBorder="1" applyAlignment="1">
      <alignment horizontal="center" vertical="center" wrapText="1"/>
    </xf>
    <xf numFmtId="4" fontId="8" fillId="8" borderId="9" xfId="0" applyNumberFormat="1"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54" xfId="0" applyFont="1" applyFill="1" applyBorder="1" applyAlignment="1">
      <alignment horizontal="left" vertical="center" wrapText="1"/>
    </xf>
    <xf numFmtId="0" fontId="4" fillId="7" borderId="3" xfId="0" applyFont="1" applyFill="1" applyBorder="1" applyAlignment="1">
      <alignment horizontal="center" vertical="center" wrapText="1"/>
    </xf>
    <xf numFmtId="0" fontId="4" fillId="7" borderId="55" xfId="0" applyFont="1" applyFill="1" applyBorder="1" applyAlignment="1">
      <alignment horizontal="left" vertical="center" wrapText="1"/>
    </xf>
    <xf numFmtId="0" fontId="4" fillId="7" borderId="2" xfId="0"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0" fontId="4" fillId="7" borderId="3" xfId="0" applyFont="1" applyFill="1" applyBorder="1" applyAlignment="1">
      <alignment horizontal="left" vertical="center" wrapText="1"/>
    </xf>
    <xf numFmtId="4" fontId="4" fillId="7" borderId="2" xfId="0" applyNumberFormat="1" applyFont="1" applyFill="1" applyBorder="1" applyAlignment="1">
      <alignment horizontal="center" vertical="center" wrapText="1"/>
    </xf>
    <xf numFmtId="2" fontId="4" fillId="7" borderId="2" xfId="0" applyNumberFormat="1" applyFont="1" applyFill="1" applyBorder="1" applyAlignment="1">
      <alignment horizontal="center" vertical="center" wrapText="1"/>
    </xf>
    <xf numFmtId="0" fontId="4" fillId="7" borderId="40"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4" fontId="0" fillId="0" borderId="47" xfId="0" applyNumberFormat="1" applyFill="1" applyBorder="1"/>
    <xf numFmtId="4" fontId="8" fillId="0" borderId="47" xfId="0" applyNumberFormat="1" applyFont="1" applyFill="1" applyBorder="1"/>
    <xf numFmtId="0" fontId="10" fillId="0" borderId="42" xfId="0" applyFont="1" applyFill="1" applyBorder="1" applyAlignment="1"/>
    <xf numFmtId="4" fontId="8" fillId="0" borderId="42" xfId="0" applyNumberFormat="1" applyFont="1" applyFill="1" applyBorder="1"/>
    <xf numFmtId="0" fontId="10" fillId="0" borderId="0" xfId="0" applyFont="1" applyFill="1" applyBorder="1" applyAlignment="1">
      <alignment wrapText="1"/>
    </xf>
    <xf numFmtId="4" fontId="8" fillId="0" borderId="0" xfId="0" applyNumberFormat="1" applyFont="1" applyFill="1" applyBorder="1"/>
    <xf numFmtId="1" fontId="8" fillId="0" borderId="42" xfId="0" applyNumberFormat="1" applyFont="1" applyFill="1" applyBorder="1"/>
    <xf numFmtId="1" fontId="8" fillId="0" borderId="0" xfId="0" applyNumberFormat="1" applyFont="1" applyFill="1" applyBorder="1"/>
    <xf numFmtId="1" fontId="8" fillId="0" borderId="47" xfId="0" applyNumberFormat="1" applyFont="1" applyFill="1" applyBorder="1"/>
    <xf numFmtId="0" fontId="10" fillId="0" borderId="47" xfId="0" applyFont="1" applyFill="1" applyBorder="1" applyAlignment="1"/>
    <xf numFmtId="0" fontId="2" fillId="2" borderId="72" xfId="1" applyFont="1" applyFill="1" applyBorder="1" applyAlignment="1">
      <alignment horizontal="center" vertical="center" wrapText="1"/>
    </xf>
    <xf numFmtId="0" fontId="1" fillId="4" borderId="73"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3" fillId="2" borderId="75" xfId="1" applyFont="1" applyFill="1" applyBorder="1" applyAlignment="1">
      <alignment horizontal="center" vertical="center" wrapText="1"/>
    </xf>
    <xf numFmtId="1" fontId="4" fillId="7" borderId="76" xfId="0" applyNumberFormat="1" applyFont="1" applyFill="1" applyBorder="1" applyAlignment="1">
      <alignment horizontal="center" vertical="center" wrapText="1"/>
    </xf>
    <xf numFmtId="1" fontId="4" fillId="7" borderId="78" xfId="0" applyNumberFormat="1" applyFont="1" applyFill="1" applyBorder="1" applyAlignment="1">
      <alignment horizontal="center" vertical="center" wrapText="1"/>
    </xf>
    <xf numFmtId="0" fontId="4" fillId="7" borderId="77" xfId="0" applyFont="1" applyFill="1" applyBorder="1" applyAlignment="1">
      <alignment horizontal="center" vertical="center" wrapText="1"/>
    </xf>
    <xf numFmtId="0" fontId="4" fillId="7" borderId="79" xfId="1" applyFont="1" applyFill="1" applyBorder="1" applyAlignment="1">
      <alignment horizontal="center" vertical="center" wrapText="1"/>
    </xf>
    <xf numFmtId="4" fontId="4" fillId="7" borderId="21" xfId="0" applyNumberFormat="1" applyFont="1" applyFill="1" applyBorder="1" applyAlignment="1">
      <alignment horizontal="center" vertical="center" wrapText="1"/>
    </xf>
    <xf numFmtId="4" fontId="4" fillId="7" borderId="80" xfId="0" applyNumberFormat="1" applyFont="1" applyFill="1" applyBorder="1" applyAlignment="1">
      <alignment horizontal="center" vertical="center" wrapText="1"/>
    </xf>
    <xf numFmtId="4" fontId="4" fillId="7" borderId="79" xfId="0" applyNumberFormat="1" applyFont="1" applyFill="1" applyBorder="1" applyAlignment="1">
      <alignment horizontal="center" vertical="center" wrapText="1"/>
    </xf>
    <xf numFmtId="2" fontId="4" fillId="7" borderId="79" xfId="0" applyNumberFormat="1" applyFont="1" applyFill="1" applyBorder="1" applyAlignment="1">
      <alignment horizontal="center" vertical="center" wrapText="1"/>
    </xf>
    <xf numFmtId="0" fontId="10" fillId="0" borderId="81" xfId="0" applyFont="1" applyBorder="1"/>
    <xf numFmtId="0" fontId="0" fillId="0" borderId="82" xfId="0" applyBorder="1"/>
    <xf numFmtId="0" fontId="0" fillId="0" borderId="83" xfId="0" applyBorder="1"/>
    <xf numFmtId="0" fontId="0" fillId="0" borderId="84" xfId="0" applyBorder="1"/>
    <xf numFmtId="4" fontId="8" fillId="0" borderId="85" xfId="0" applyNumberFormat="1" applyFont="1" applyBorder="1"/>
    <xf numFmtId="0" fontId="1" fillId="0" borderId="86" xfId="1" applyBorder="1"/>
    <xf numFmtId="4" fontId="8" fillId="0" borderId="87" xfId="0" applyNumberFormat="1" applyFont="1" applyBorder="1"/>
    <xf numFmtId="0" fontId="3" fillId="2" borderId="88" xfId="1" applyFont="1" applyFill="1" applyBorder="1" applyAlignment="1">
      <alignment horizontal="center" vertical="center" wrapText="1"/>
    </xf>
    <xf numFmtId="0" fontId="1" fillId="0" borderId="82" xfId="1" applyBorder="1"/>
    <xf numFmtId="4" fontId="8" fillId="6" borderId="3" xfId="0" applyNumberFormat="1" applyFont="1" applyFill="1" applyBorder="1" applyAlignment="1">
      <alignment horizontal="center" vertical="center" wrapText="1"/>
    </xf>
    <xf numFmtId="4" fontId="8" fillId="6" borderId="9" xfId="0" applyNumberFormat="1" applyFont="1" applyFill="1" applyBorder="1" applyAlignment="1">
      <alignment horizontal="center" vertical="center" wrapText="1"/>
    </xf>
    <xf numFmtId="165" fontId="8" fillId="0" borderId="42" xfId="0" applyNumberFormat="1" applyFont="1" applyFill="1" applyBorder="1" applyAlignment="1">
      <alignment wrapText="1"/>
    </xf>
    <xf numFmtId="0" fontId="0" fillId="0" borderId="43" xfId="0" applyFill="1" applyBorder="1"/>
    <xf numFmtId="165" fontId="8" fillId="0" borderId="0" xfId="0" applyNumberFormat="1" applyFont="1" applyFill="1" applyBorder="1" applyAlignment="1">
      <alignment wrapText="1"/>
    </xf>
    <xf numFmtId="0" fontId="0" fillId="0" borderId="44" xfId="0" applyFill="1" applyBorder="1"/>
    <xf numFmtId="0" fontId="16" fillId="7" borderId="3" xfId="1" applyFont="1" applyFill="1" applyBorder="1" applyAlignment="1">
      <alignment horizontal="center" vertical="center" wrapText="1"/>
    </xf>
    <xf numFmtId="16" fontId="16" fillId="7" borderId="3" xfId="1" applyNumberFormat="1" applyFont="1" applyFill="1" applyBorder="1" applyAlignment="1">
      <alignment horizontal="center" vertical="center" wrapText="1"/>
    </xf>
    <xf numFmtId="0" fontId="8" fillId="7" borderId="3" xfId="1" applyFont="1" applyFill="1" applyBorder="1" applyAlignment="1">
      <alignment horizontal="center" vertical="center" wrapText="1"/>
    </xf>
    <xf numFmtId="14" fontId="16" fillId="7" borderId="3" xfId="1" applyNumberFormat="1" applyFont="1" applyFill="1" applyBorder="1" applyAlignment="1">
      <alignment horizontal="center" vertical="center" wrapText="1"/>
    </xf>
    <xf numFmtId="0" fontId="20" fillId="7" borderId="65" xfId="1" applyFont="1" applyFill="1" applyBorder="1" applyAlignment="1">
      <alignment horizontal="center" vertical="center" wrapText="1"/>
    </xf>
    <xf numFmtId="0" fontId="18" fillId="7" borderId="3" xfId="1" applyFont="1" applyFill="1" applyBorder="1" applyAlignment="1">
      <alignment horizontal="center" vertical="center" wrapText="1"/>
    </xf>
    <xf numFmtId="0" fontId="20" fillId="7" borderId="3" xfId="1" applyFont="1" applyFill="1" applyBorder="1" applyAlignment="1">
      <alignment horizontal="center" vertical="center" wrapText="1"/>
    </xf>
    <xf numFmtId="14" fontId="18" fillId="7" borderId="3" xfId="1" applyNumberFormat="1" applyFont="1" applyFill="1" applyBorder="1" applyAlignment="1">
      <alignment horizontal="center" vertical="center" wrapText="1"/>
    </xf>
    <xf numFmtId="0" fontId="16" fillId="7" borderId="3" xfId="1" applyFont="1" applyFill="1" applyBorder="1" applyAlignment="1">
      <alignment horizontal="left" vertical="center" wrapText="1"/>
    </xf>
    <xf numFmtId="0" fontId="0" fillId="7" borderId="16"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16" xfId="1" applyFont="1" applyFill="1" applyBorder="1" applyAlignment="1">
      <alignment horizontal="center" vertical="center" wrapText="1"/>
    </xf>
    <xf numFmtId="0" fontId="20" fillId="7" borderId="16" xfId="1" applyFont="1" applyFill="1" applyBorder="1" applyAlignment="1">
      <alignment horizontal="center" vertical="center" wrapText="1"/>
    </xf>
    <xf numFmtId="14" fontId="18" fillId="7" borderId="16" xfId="1" applyNumberFormat="1" applyFont="1" applyFill="1" applyBorder="1" applyAlignment="1">
      <alignment horizontal="center" vertical="center" wrapText="1"/>
    </xf>
    <xf numFmtId="0" fontId="16" fillId="7" borderId="16" xfId="1" applyFont="1" applyFill="1" applyBorder="1" applyAlignment="1">
      <alignment horizontal="center" vertical="center" wrapText="1"/>
    </xf>
    <xf numFmtId="14" fontId="16" fillId="7" borderId="16" xfId="1" applyNumberFormat="1" applyFont="1" applyFill="1" applyBorder="1" applyAlignment="1">
      <alignment horizontal="center" vertical="center" wrapText="1"/>
    </xf>
    <xf numFmtId="0" fontId="0" fillId="7" borderId="16" xfId="1" applyFont="1" applyFill="1" applyBorder="1" applyAlignment="1">
      <alignment vertical="top" wrapText="1"/>
    </xf>
    <xf numFmtId="0" fontId="0" fillId="7" borderId="16" xfId="1" applyFont="1" applyFill="1" applyBorder="1" applyAlignment="1">
      <alignment horizontal="left" vertical="top" wrapText="1"/>
    </xf>
    <xf numFmtId="0" fontId="1" fillId="6" borderId="33" xfId="1" applyFont="1" applyFill="1" applyBorder="1" applyAlignment="1">
      <alignment horizontal="center" vertical="center" wrapText="1"/>
    </xf>
    <xf numFmtId="0" fontId="2" fillId="8" borderId="74" xfId="1" applyFont="1" applyFill="1" applyBorder="1" applyAlignment="1">
      <alignment horizontal="center" vertical="center" wrapText="1"/>
    </xf>
    <xf numFmtId="0" fontId="10" fillId="0" borderId="47" xfId="0" applyFont="1" applyFill="1" applyBorder="1" applyAlignment="1">
      <alignment wrapText="1"/>
    </xf>
    <xf numFmtId="165" fontId="8" fillId="0" borderId="47" xfId="0" applyNumberFormat="1" applyFont="1" applyFill="1" applyBorder="1" applyAlignment="1">
      <alignment wrapText="1"/>
    </xf>
    <xf numFmtId="0" fontId="0" fillId="0" borderId="48" xfId="0" applyFill="1" applyBorder="1"/>
    <xf numFmtId="0" fontId="16" fillId="0" borderId="86" xfId="1" applyFont="1" applyBorder="1"/>
    <xf numFmtId="0" fontId="1" fillId="6" borderId="61" xfId="1" applyFont="1" applyFill="1" applyBorder="1" applyAlignment="1">
      <alignment horizontal="center" vertical="center" wrapText="1"/>
    </xf>
    <xf numFmtId="0" fontId="2" fillId="8" borderId="60" xfId="1" applyFont="1" applyFill="1" applyBorder="1" applyAlignment="1">
      <alignment horizontal="center" vertical="center" wrapText="1"/>
    </xf>
    <xf numFmtId="0" fontId="22" fillId="7" borderId="68" xfId="0" applyFont="1" applyFill="1" applyBorder="1" applyAlignment="1">
      <alignment horizontal="left" vertical="top" wrapText="1"/>
    </xf>
    <xf numFmtId="0" fontId="18" fillId="7" borderId="65" xfId="1" applyFont="1" applyFill="1" applyBorder="1" applyAlignment="1">
      <alignment horizontal="center" vertical="center" wrapText="1"/>
    </xf>
    <xf numFmtId="49" fontId="18" fillId="7" borderId="65" xfId="1" applyNumberFormat="1" applyFont="1" applyFill="1" applyBorder="1" applyAlignment="1">
      <alignment horizontal="center" vertical="center" wrapText="1"/>
    </xf>
    <xf numFmtId="16" fontId="18" fillId="7" borderId="65" xfId="1" applyNumberFormat="1" applyFont="1" applyFill="1" applyBorder="1" applyAlignment="1">
      <alignment horizontal="center" vertical="center" wrapText="1"/>
    </xf>
    <xf numFmtId="14" fontId="18" fillId="7" borderId="65" xfId="1" applyNumberFormat="1" applyFont="1" applyFill="1" applyBorder="1" applyAlignment="1">
      <alignment horizontal="center" vertical="center" wrapText="1"/>
    </xf>
    <xf numFmtId="0" fontId="22" fillId="7" borderId="66" xfId="0" applyFont="1" applyFill="1" applyBorder="1" applyAlignment="1">
      <alignment horizontal="left" vertical="top" wrapText="1"/>
    </xf>
    <xf numFmtId="49" fontId="18" fillId="7" borderId="3" xfId="1" applyNumberFormat="1" applyFont="1" applyFill="1" applyBorder="1" applyAlignment="1">
      <alignment horizontal="center" vertical="center" wrapText="1"/>
    </xf>
    <xf numFmtId="16" fontId="18" fillId="7" borderId="3" xfId="1" applyNumberFormat="1" applyFont="1" applyFill="1" applyBorder="1" applyAlignment="1">
      <alignment horizontal="center" vertical="center" wrapText="1"/>
    </xf>
    <xf numFmtId="0" fontId="22" fillId="7" borderId="68" xfId="0" applyFont="1" applyFill="1" applyBorder="1" applyAlignment="1">
      <alignment horizontal="left" vertical="center" wrapText="1"/>
    </xf>
    <xf numFmtId="0" fontId="18" fillId="7" borderId="70" xfId="1" applyFont="1" applyFill="1" applyBorder="1" applyAlignment="1">
      <alignment horizontal="center" vertical="center" wrapText="1"/>
    </xf>
    <xf numFmtId="49" fontId="18" fillId="7" borderId="70" xfId="1" applyNumberFormat="1" applyFont="1" applyFill="1" applyBorder="1" applyAlignment="1">
      <alignment horizontal="center" vertical="center" wrapText="1"/>
    </xf>
    <xf numFmtId="16" fontId="18" fillId="7" borderId="70" xfId="1" applyNumberFormat="1" applyFont="1" applyFill="1" applyBorder="1" applyAlignment="1">
      <alignment horizontal="center" vertical="center" wrapText="1"/>
    </xf>
    <xf numFmtId="0" fontId="20" fillId="7" borderId="70" xfId="1" applyFont="1" applyFill="1" applyBorder="1" applyAlignment="1">
      <alignment horizontal="center" vertical="center" wrapText="1"/>
    </xf>
    <xf numFmtId="14" fontId="18" fillId="7" borderId="70" xfId="1" applyNumberFormat="1" applyFont="1" applyFill="1" applyBorder="1" applyAlignment="1">
      <alignment horizontal="center" vertical="center" wrapText="1"/>
    </xf>
    <xf numFmtId="0" fontId="23" fillId="7" borderId="71" xfId="1" applyFont="1" applyFill="1" applyBorder="1" applyAlignment="1">
      <alignment horizontal="left" vertical="center" wrapText="1"/>
    </xf>
    <xf numFmtId="0" fontId="22" fillId="7" borderId="71" xfId="0" applyFont="1" applyFill="1" applyBorder="1" applyAlignment="1">
      <alignment horizontal="left" vertical="center" wrapText="1"/>
    </xf>
    <xf numFmtId="0" fontId="22" fillId="7" borderId="71" xfId="0" applyFont="1" applyFill="1" applyBorder="1" applyAlignment="1">
      <alignment horizontal="left" vertical="top" wrapText="1"/>
    </xf>
    <xf numFmtId="0" fontId="24" fillId="7" borderId="3" xfId="0" applyFont="1" applyFill="1" applyBorder="1" applyAlignment="1">
      <alignment horizontal="center" vertical="center" wrapText="1"/>
    </xf>
    <xf numFmtId="0" fontId="25" fillId="7" borderId="3" xfId="0" applyFont="1" applyFill="1" applyBorder="1" applyAlignment="1">
      <alignment vertical="center" wrapText="1"/>
    </xf>
    <xf numFmtId="14" fontId="24" fillId="7" borderId="3" xfId="0" applyNumberFormat="1" applyFont="1" applyFill="1" applyBorder="1" applyAlignment="1">
      <alignment horizontal="center" vertical="center" wrapText="1"/>
    </xf>
    <xf numFmtId="166" fontId="18" fillId="7" borderId="3" xfId="1" applyNumberFormat="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18" fillId="7" borderId="21" xfId="1" applyFont="1" applyFill="1" applyBorder="1" applyAlignment="1">
      <alignment horizontal="center" vertical="center" wrapText="1"/>
    </xf>
    <xf numFmtId="14" fontId="18" fillId="7" borderId="34" xfId="1" applyNumberFormat="1" applyFont="1" applyFill="1" applyBorder="1" applyAlignment="1">
      <alignment horizontal="center" vertical="center" wrapText="1"/>
    </xf>
    <xf numFmtId="0" fontId="18" fillId="7" borderId="5" xfId="1" applyFont="1" applyFill="1" applyBorder="1" applyAlignment="1">
      <alignment horizontal="center" vertical="center" wrapText="1"/>
    </xf>
    <xf numFmtId="0" fontId="22" fillId="7" borderId="90" xfId="0" applyFont="1" applyFill="1" applyBorder="1" applyAlignment="1">
      <alignment horizontal="left" vertical="center" wrapText="1"/>
    </xf>
    <xf numFmtId="0" fontId="18" fillId="7" borderId="89" xfId="1" applyFont="1" applyFill="1" applyBorder="1" applyAlignment="1">
      <alignment horizontal="center" vertical="center" wrapText="1"/>
    </xf>
    <xf numFmtId="0" fontId="18" fillId="7" borderId="95" xfId="1" applyFont="1" applyFill="1" applyBorder="1" applyAlignment="1">
      <alignment horizontal="center" vertical="center" wrapText="1"/>
    </xf>
    <xf numFmtId="0" fontId="18" fillId="7" borderId="63" xfId="1" applyFont="1" applyFill="1" applyBorder="1" applyAlignment="1">
      <alignment horizontal="center" vertical="center" wrapText="1"/>
    </xf>
    <xf numFmtId="14" fontId="18" fillId="7" borderId="96" xfId="1" applyNumberFormat="1" applyFont="1" applyFill="1" applyBorder="1" applyAlignment="1">
      <alignment horizontal="center" vertical="center" wrapText="1"/>
    </xf>
    <xf numFmtId="14" fontId="18" fillId="7" borderId="97" xfId="1" applyNumberFormat="1" applyFont="1" applyFill="1" applyBorder="1" applyAlignment="1">
      <alignment horizontal="center" vertical="center" wrapText="1"/>
    </xf>
    <xf numFmtId="0" fontId="22" fillId="7" borderId="98" xfId="0" applyFont="1" applyFill="1" applyBorder="1" applyAlignment="1">
      <alignment horizontal="left" vertical="center" wrapText="1"/>
    </xf>
    <xf numFmtId="0" fontId="18" fillId="7" borderId="91" xfId="1" applyFont="1" applyFill="1" applyBorder="1" applyAlignment="1">
      <alignment horizontal="center" vertical="center" wrapText="1"/>
    </xf>
    <xf numFmtId="0" fontId="18" fillId="7" borderId="92" xfId="1" applyFont="1" applyFill="1" applyBorder="1" applyAlignment="1">
      <alignment horizontal="center" vertical="center" wrapText="1"/>
    </xf>
    <xf numFmtId="14" fontId="18" fillId="7" borderId="92" xfId="1" applyNumberFormat="1" applyFont="1" applyFill="1" applyBorder="1" applyAlignment="1">
      <alignment horizontal="center" vertical="center" wrapText="1"/>
    </xf>
    <xf numFmtId="14" fontId="18" fillId="7" borderId="93" xfId="1" applyNumberFormat="1" applyFont="1" applyFill="1" applyBorder="1" applyAlignment="1">
      <alignment horizontal="center" vertical="center" wrapText="1"/>
    </xf>
    <xf numFmtId="0" fontId="22" fillId="7" borderId="94" xfId="0" applyFont="1" applyFill="1" applyBorder="1" applyAlignment="1">
      <alignment horizontal="left" vertical="top" wrapText="1"/>
    </xf>
    <xf numFmtId="3" fontId="18" fillId="7" borderId="3" xfId="1" applyNumberFormat="1" applyFont="1" applyFill="1" applyBorder="1" applyAlignment="1">
      <alignment horizontal="center" vertical="center" wrapText="1"/>
    </xf>
    <xf numFmtId="0" fontId="22" fillId="7" borderId="16" xfId="0" applyFont="1" applyFill="1" applyBorder="1" applyAlignment="1">
      <alignment horizontal="left" vertical="top" wrapText="1"/>
    </xf>
    <xf numFmtId="0" fontId="22" fillId="7" borderId="16" xfId="0" applyFont="1" applyFill="1" applyBorder="1" applyAlignment="1">
      <alignment horizontal="left" vertical="center" wrapText="1"/>
    </xf>
    <xf numFmtId="0" fontId="1" fillId="6" borderId="5" xfId="1" applyFont="1" applyFill="1" applyBorder="1" applyAlignment="1">
      <alignment horizontal="center" vertical="center" wrapText="1"/>
    </xf>
    <xf numFmtId="0" fontId="1" fillId="6" borderId="34"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2" fillId="8" borderId="59" xfId="1" applyFont="1" applyFill="1" applyBorder="1" applyAlignment="1">
      <alignment horizontal="center" vertical="center" wrapText="1"/>
    </xf>
    <xf numFmtId="0" fontId="2" fillId="8" borderId="30" xfId="1" applyFont="1" applyFill="1" applyBorder="1" applyAlignment="1">
      <alignment horizontal="center" vertical="center" wrapText="1"/>
    </xf>
    <xf numFmtId="0" fontId="2" fillId="8" borderId="4" xfId="1" applyFont="1" applyFill="1" applyBorder="1" applyAlignment="1">
      <alignment horizontal="center" vertical="center" wrapText="1"/>
    </xf>
    <xf numFmtId="0" fontId="2" fillId="8" borderId="58" xfId="1" applyFont="1" applyFill="1" applyBorder="1" applyAlignment="1">
      <alignment horizontal="center" vertical="center" wrapText="1"/>
    </xf>
    <xf numFmtId="0" fontId="16" fillId="7" borderId="3" xfId="1" applyNumberFormat="1" applyFont="1" applyFill="1" applyBorder="1" applyAlignment="1">
      <alignment horizontal="center" vertical="center" wrapText="1"/>
    </xf>
    <xf numFmtId="0" fontId="16" fillId="9" borderId="3" xfId="1" applyFont="1" applyFill="1" applyBorder="1" applyAlignment="1">
      <alignment horizontal="center" vertical="center" wrapText="1"/>
    </xf>
    <xf numFmtId="0" fontId="8" fillId="9" borderId="3" xfId="1" applyFont="1" applyFill="1" applyBorder="1" applyAlignment="1">
      <alignment horizontal="center" vertical="center" wrapText="1"/>
    </xf>
    <xf numFmtId="14" fontId="16" fillId="9" borderId="3" xfId="1" applyNumberFormat="1" applyFont="1" applyFill="1" applyBorder="1" applyAlignment="1">
      <alignment horizontal="center" vertical="center" wrapText="1"/>
    </xf>
    <xf numFmtId="0" fontId="0" fillId="9" borderId="16" xfId="1" applyFont="1" applyFill="1" applyBorder="1" applyAlignment="1">
      <alignment horizontal="left" vertical="top" wrapText="1"/>
    </xf>
    <xf numFmtId="0" fontId="10" fillId="0" borderId="38" xfId="0" applyFont="1" applyBorder="1" applyAlignment="1">
      <alignment horizontal="left" wrapText="1"/>
    </xf>
    <xf numFmtId="0" fontId="10" fillId="0" borderId="0" xfId="0" applyFont="1" applyBorder="1" applyAlignment="1">
      <alignment horizontal="left" wrapText="1"/>
    </xf>
    <xf numFmtId="0" fontId="3" fillId="2" borderId="49"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2" fillId="0" borderId="17" xfId="1" applyFont="1" applyBorder="1" applyAlignment="1">
      <alignment horizontal="center"/>
    </xf>
    <xf numFmtId="0" fontId="2" fillId="0" borderId="0" xfId="1" applyFont="1" applyBorder="1" applyAlignment="1">
      <alignment horizontal="center"/>
    </xf>
    <xf numFmtId="0" fontId="5" fillId="5" borderId="13"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2" fillId="0" borderId="17" xfId="1" applyFont="1" applyBorder="1" applyAlignment="1">
      <alignment horizontal="left"/>
    </xf>
    <xf numFmtId="0" fontId="2" fillId="0" borderId="0" xfId="1" applyFont="1" applyBorder="1" applyAlignment="1">
      <alignment horizontal="left"/>
    </xf>
    <xf numFmtId="0" fontId="10" fillId="0" borderId="38" xfId="0" applyFont="1" applyFill="1" applyBorder="1" applyAlignment="1">
      <alignment horizontal="left" wrapText="1"/>
    </xf>
    <xf numFmtId="0" fontId="10" fillId="0" borderId="0" xfId="0" applyFont="1" applyFill="1" applyBorder="1" applyAlignment="1">
      <alignment horizontal="left" wrapText="1"/>
    </xf>
    <xf numFmtId="0" fontId="10" fillId="0" borderId="50" xfId="0" applyFont="1" applyFill="1" applyBorder="1" applyAlignment="1">
      <alignment horizontal="left"/>
    </xf>
    <xf numFmtId="0" fontId="10" fillId="0" borderId="42" xfId="0" applyFont="1" applyFill="1" applyBorder="1" applyAlignment="1">
      <alignment horizontal="left"/>
    </xf>
    <xf numFmtId="0" fontId="10" fillId="0" borderId="51" xfId="0" applyFont="1" applyFill="1" applyBorder="1" applyAlignment="1">
      <alignment horizontal="left" wrapText="1"/>
    </xf>
    <xf numFmtId="0" fontId="10" fillId="0" borderId="47" xfId="0" applyFont="1" applyFill="1" applyBorder="1" applyAlignment="1">
      <alignment horizontal="left" wrapText="1"/>
    </xf>
    <xf numFmtId="0" fontId="10" fillId="0" borderId="50" xfId="0" applyFont="1" applyBorder="1" applyAlignment="1">
      <alignment horizontal="left"/>
    </xf>
    <xf numFmtId="0" fontId="10" fillId="0" borderId="42" xfId="0" applyFont="1" applyBorder="1" applyAlignment="1">
      <alignment horizontal="left"/>
    </xf>
    <xf numFmtId="0" fontId="10" fillId="0" borderId="51" xfId="0" applyFont="1" applyFill="1" applyBorder="1" applyAlignment="1">
      <alignment horizontal="left"/>
    </xf>
    <xf numFmtId="0" fontId="10" fillId="0" borderId="47" xfId="0" applyFont="1" applyFill="1" applyBorder="1" applyAlignment="1">
      <alignment horizontal="left"/>
    </xf>
    <xf numFmtId="0" fontId="10" fillId="0" borderId="51" xfId="0" applyFont="1" applyBorder="1" applyAlignment="1">
      <alignment horizontal="left"/>
    </xf>
    <xf numFmtId="0" fontId="10" fillId="0" borderId="47" xfId="0" applyFont="1" applyBorder="1" applyAlignment="1">
      <alignment horizontal="left"/>
    </xf>
    <xf numFmtId="0" fontId="10" fillId="0" borderId="50" xfId="0" applyFont="1" applyFill="1" applyBorder="1" applyAlignment="1">
      <alignment horizontal="left" wrapText="1"/>
    </xf>
    <xf numFmtId="0" fontId="10" fillId="0" borderId="42" xfId="0" applyFont="1" applyFill="1" applyBorder="1" applyAlignment="1">
      <alignment horizontal="left" wrapText="1"/>
    </xf>
    <xf numFmtId="0" fontId="2" fillId="0" borderId="0" xfId="1" applyFont="1" applyAlignment="1">
      <alignment horizontal="center" wrapText="1"/>
    </xf>
    <xf numFmtId="0" fontId="2" fillId="0" borderId="0" xfId="1" applyFont="1" applyAlignment="1">
      <alignment horizontal="center"/>
    </xf>
    <xf numFmtId="0" fontId="2" fillId="0" borderId="15" xfId="1" applyFont="1" applyBorder="1" applyAlignment="1">
      <alignment horizontal="center"/>
    </xf>
    <xf numFmtId="0" fontId="2" fillId="0" borderId="14" xfId="1" applyFont="1" applyBorder="1" applyAlignment="1">
      <alignment horizontal="center"/>
    </xf>
    <xf numFmtId="0" fontId="7" fillId="5" borderId="20"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2" fillId="0" borderId="0" xfId="0" applyFont="1" applyBorder="1" applyAlignment="1">
      <alignment horizontal="center"/>
    </xf>
    <xf numFmtId="0" fontId="3" fillId="2" borderId="4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5" xfId="0" applyFont="1" applyBorder="1" applyAlignment="1">
      <alignment horizontal="center"/>
    </xf>
    <xf numFmtId="0" fontId="2" fillId="0" borderId="14" xfId="0" applyFont="1" applyBorder="1" applyAlignment="1">
      <alignment horizont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3" fillId="0" borderId="15" xfId="0" applyFont="1" applyBorder="1" applyAlignment="1">
      <alignment horizontal="center"/>
    </xf>
    <xf numFmtId="0" fontId="13" fillId="0" borderId="14" xfId="0" applyFont="1" applyBorder="1" applyAlignment="1">
      <alignment horizontal="center"/>
    </xf>
    <xf numFmtId="0" fontId="2" fillId="0" borderId="16" xfId="0" applyFont="1" applyBorder="1" applyAlignment="1">
      <alignment horizontal="center"/>
    </xf>
    <xf numFmtId="0" fontId="2" fillId="0" borderId="28" xfId="0" applyFont="1" applyBorder="1" applyAlignment="1">
      <alignment horizontal="center"/>
    </xf>
    <xf numFmtId="0" fontId="15" fillId="0" borderId="15" xfId="1" applyFont="1" applyBorder="1" applyAlignment="1">
      <alignment horizontal="center"/>
    </xf>
    <xf numFmtId="0" fontId="15" fillId="0" borderId="14" xfId="1" applyFont="1" applyBorder="1" applyAlignment="1">
      <alignment horizontal="center"/>
    </xf>
    <xf numFmtId="0" fontId="15" fillId="4" borderId="5"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9" fillId="7" borderId="13" xfId="1" applyFont="1" applyFill="1" applyBorder="1" applyAlignment="1">
      <alignment horizontal="center" vertical="center" wrapText="1"/>
    </xf>
    <xf numFmtId="0" fontId="19" fillId="7" borderId="12" xfId="1" applyFont="1" applyFill="1" applyBorder="1" applyAlignment="1">
      <alignment horizontal="center" vertical="center" wrapText="1"/>
    </xf>
    <xf numFmtId="0" fontId="19" fillId="7" borderId="11" xfId="1" applyFont="1" applyFill="1" applyBorder="1" applyAlignment="1">
      <alignment horizontal="center" vertical="center" wrapText="1"/>
    </xf>
    <xf numFmtId="0" fontId="14" fillId="0" borderId="15" xfId="1" applyFont="1" applyBorder="1" applyAlignment="1">
      <alignment horizontal="center"/>
    </xf>
    <xf numFmtId="0" fontId="14" fillId="0" borderId="14" xfId="1" applyFont="1" applyBorder="1" applyAlignment="1">
      <alignment horizontal="center"/>
    </xf>
    <xf numFmtId="0" fontId="17" fillId="5" borderId="6" xfId="1" applyFont="1" applyFill="1" applyBorder="1" applyAlignment="1">
      <alignment horizontal="center" vertical="center" wrapText="1"/>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7"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2"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29"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17" fillId="5" borderId="57"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2" fillId="0" borderId="16" xfId="0" applyFont="1" applyBorder="1" applyAlignment="1">
      <alignment horizontal="center" wrapText="1"/>
    </xf>
  </cellXfs>
  <cellStyles count="3">
    <cellStyle name="Excel Built-in Normal" xfId="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5" zoomScale="90" zoomScaleNormal="90" zoomScaleSheetLayoutView="100" workbookViewId="0">
      <selection activeCell="D39" sqref="D39"/>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6384" width="9.140625" style="1"/>
  </cols>
  <sheetData>
    <row r="1" spans="1:13" ht="15.75" thickBot="1" x14ac:dyDescent="0.3">
      <c r="A1" s="272" t="s">
        <v>264</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0</v>
      </c>
      <c r="F6" s="105">
        <f t="shared" ref="F6:F11" si="0">0.85*M6</f>
        <v>0</v>
      </c>
      <c r="G6" s="105">
        <f t="shared" ref="G6:G11" si="1">0.15*M6</f>
        <v>0</v>
      </c>
      <c r="H6" s="105">
        <f>((F6+G6)/95)*5</f>
        <v>0</v>
      </c>
      <c r="I6" s="105">
        <v>0</v>
      </c>
      <c r="J6" s="106">
        <v>0</v>
      </c>
      <c r="K6" s="42"/>
      <c r="L6" s="42"/>
      <c r="M6" s="43">
        <v>0</v>
      </c>
    </row>
    <row r="7" spans="1:13" ht="45.75" customHeight="1" thickBot="1" x14ac:dyDescent="0.3">
      <c r="A7" s="266"/>
      <c r="B7" s="107">
        <v>4</v>
      </c>
      <c r="C7" s="108" t="s">
        <v>200</v>
      </c>
      <c r="D7" s="109" t="s">
        <v>201</v>
      </c>
      <c r="E7" s="110">
        <f>F7+G7+H7+I7</f>
        <v>0</v>
      </c>
      <c r="F7" s="110">
        <f t="shared" si="0"/>
        <v>0</v>
      </c>
      <c r="G7" s="110">
        <f t="shared" si="1"/>
        <v>0</v>
      </c>
      <c r="H7" s="110">
        <f>((F7+G7)/95)*5</f>
        <v>0</v>
      </c>
      <c r="I7" s="110">
        <v>0</v>
      </c>
      <c r="J7" s="111">
        <v>0</v>
      </c>
      <c r="K7" s="44"/>
      <c r="L7" s="44"/>
      <c r="M7" s="45">
        <v>0</v>
      </c>
    </row>
    <row r="8" spans="1:13" ht="72.75" customHeight="1" thickBot="1" x14ac:dyDescent="0.3">
      <c r="A8" s="266"/>
      <c r="B8" s="107">
        <v>4</v>
      </c>
      <c r="C8" s="108" t="s">
        <v>200</v>
      </c>
      <c r="D8" s="109" t="s">
        <v>201</v>
      </c>
      <c r="E8" s="110">
        <f t="shared" ref="E8:E20" si="2">F8+G8+H8+I8</f>
        <v>0</v>
      </c>
      <c r="F8" s="110">
        <f t="shared" si="0"/>
        <v>0</v>
      </c>
      <c r="G8" s="110">
        <f t="shared" si="1"/>
        <v>0</v>
      </c>
      <c r="H8" s="110">
        <f>((F8+G8)/95)*5</f>
        <v>0</v>
      </c>
      <c r="I8" s="110">
        <v>0</v>
      </c>
      <c r="J8" s="111">
        <v>0</v>
      </c>
      <c r="K8" s="44"/>
      <c r="L8" s="44"/>
      <c r="M8" s="45">
        <v>0</v>
      </c>
    </row>
    <row r="9" spans="1:13" ht="54.75" customHeight="1" thickBot="1" x14ac:dyDescent="0.3">
      <c r="A9" s="266"/>
      <c r="B9" s="107">
        <v>4</v>
      </c>
      <c r="C9" s="108" t="s">
        <v>200</v>
      </c>
      <c r="D9" s="109" t="s">
        <v>201</v>
      </c>
      <c r="E9" s="110">
        <f t="shared" si="2"/>
        <v>0</v>
      </c>
      <c r="F9" s="110">
        <f t="shared" si="0"/>
        <v>0</v>
      </c>
      <c r="G9" s="110">
        <f t="shared" si="1"/>
        <v>0</v>
      </c>
      <c r="H9" s="110">
        <v>0</v>
      </c>
      <c r="I9" s="110">
        <f>((F9+G9)/95)*5</f>
        <v>0</v>
      </c>
      <c r="J9" s="111">
        <v>0</v>
      </c>
      <c r="K9" s="44"/>
      <c r="L9" s="44"/>
      <c r="M9" s="45">
        <v>0</v>
      </c>
    </row>
    <row r="10" spans="1:13" ht="45.75" customHeight="1" thickBot="1" x14ac:dyDescent="0.3">
      <c r="A10" s="266"/>
      <c r="B10" s="107">
        <v>4</v>
      </c>
      <c r="C10" s="108" t="s">
        <v>200</v>
      </c>
      <c r="D10" s="109" t="s">
        <v>201</v>
      </c>
      <c r="E10" s="110">
        <f t="shared" si="2"/>
        <v>0</v>
      </c>
      <c r="F10" s="110">
        <f t="shared" si="0"/>
        <v>0</v>
      </c>
      <c r="G10" s="110">
        <f t="shared" si="1"/>
        <v>0</v>
      </c>
      <c r="H10" s="110">
        <f>(((F10+G10)/95)*5)/10*9</f>
        <v>0</v>
      </c>
      <c r="I10" s="110">
        <f>(((F10+G10)/95)*5)/10</f>
        <v>0</v>
      </c>
      <c r="J10" s="111">
        <v>0</v>
      </c>
      <c r="K10" s="44"/>
      <c r="L10" s="44"/>
      <c r="M10" s="45">
        <v>0</v>
      </c>
    </row>
    <row r="11" spans="1:13" ht="72.75" customHeight="1" thickBot="1" x14ac:dyDescent="0.3">
      <c r="A11" s="267"/>
      <c r="B11" s="112">
        <v>4</v>
      </c>
      <c r="C11" s="113" t="s">
        <v>200</v>
      </c>
      <c r="D11" s="114" t="s">
        <v>201</v>
      </c>
      <c r="E11" s="115">
        <f t="shared" si="2"/>
        <v>0</v>
      </c>
      <c r="F11" s="115">
        <f t="shared" si="0"/>
        <v>0</v>
      </c>
      <c r="G11" s="115">
        <f t="shared" si="1"/>
        <v>0</v>
      </c>
      <c r="H11" s="115">
        <f>(((F11+G11)/95)*5)</f>
        <v>0</v>
      </c>
      <c r="I11" s="115">
        <v>0</v>
      </c>
      <c r="J11" s="116">
        <v>0</v>
      </c>
      <c r="K11" s="46"/>
      <c r="L11" s="46"/>
      <c r="M11" s="47">
        <v>0</v>
      </c>
    </row>
    <row r="12" spans="1:13" ht="39.75" customHeight="1" thickBot="1" x14ac:dyDescent="0.3">
      <c r="A12" s="265" t="s">
        <v>27</v>
      </c>
      <c r="B12" s="102">
        <v>6</v>
      </c>
      <c r="C12" s="103" t="s">
        <v>202</v>
      </c>
      <c r="D12" s="104" t="s">
        <v>203</v>
      </c>
      <c r="E12" s="105">
        <f t="shared" si="2"/>
        <v>0</v>
      </c>
      <c r="F12" s="105">
        <f t="shared" ref="F12:F20" si="3">0.75*M12</f>
        <v>0</v>
      </c>
      <c r="G12" s="105">
        <f t="shared" ref="G12:G20" si="4">0.25*M12</f>
        <v>0</v>
      </c>
      <c r="H12" s="105">
        <v>0</v>
      </c>
      <c r="I12" s="105">
        <f>((F12+G12)/(100-N12))*N12</f>
        <v>0</v>
      </c>
      <c r="J12" s="106">
        <v>0</v>
      </c>
      <c r="K12" s="42"/>
      <c r="L12" s="42"/>
      <c r="M12" s="43">
        <v>0</v>
      </c>
    </row>
    <row r="13" spans="1:13" ht="36" customHeight="1" thickBot="1" x14ac:dyDescent="0.3">
      <c r="A13" s="266"/>
      <c r="B13" s="107">
        <v>6</v>
      </c>
      <c r="C13" s="108" t="s">
        <v>202</v>
      </c>
      <c r="D13" s="109" t="s">
        <v>203</v>
      </c>
      <c r="E13" s="110">
        <f t="shared" si="2"/>
        <v>0</v>
      </c>
      <c r="F13" s="110">
        <f t="shared" si="3"/>
        <v>0</v>
      </c>
      <c r="G13" s="110">
        <f t="shared" si="4"/>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2"/>
        <v>0</v>
      </c>
      <c r="F14" s="110">
        <f t="shared" si="3"/>
        <v>0</v>
      </c>
      <c r="G14" s="110">
        <f t="shared" si="4"/>
        <v>0</v>
      </c>
      <c r="H14" s="110">
        <v>0</v>
      </c>
      <c r="I14" s="110">
        <f>((F14+G14)/(100-N14))*N14</f>
        <v>0</v>
      </c>
      <c r="J14" s="111">
        <v>0</v>
      </c>
      <c r="K14" s="44"/>
      <c r="L14" s="44"/>
      <c r="M14" s="45">
        <v>0</v>
      </c>
    </row>
    <row r="15" spans="1:13" ht="81.75" customHeight="1" thickBot="1" x14ac:dyDescent="0.3">
      <c r="A15" s="266"/>
      <c r="B15" s="107">
        <v>6</v>
      </c>
      <c r="C15" s="108" t="s">
        <v>202</v>
      </c>
      <c r="D15" s="109" t="s">
        <v>203</v>
      </c>
      <c r="E15" s="110">
        <f t="shared" si="2"/>
        <v>0</v>
      </c>
      <c r="F15" s="110">
        <f t="shared" si="3"/>
        <v>0</v>
      </c>
      <c r="G15" s="110">
        <f t="shared" si="4"/>
        <v>0</v>
      </c>
      <c r="H15" s="110">
        <v>0</v>
      </c>
      <c r="I15" s="110">
        <f t="shared" ref="I15:I20" si="5">((F15+G15)/(100-N15))*N15</f>
        <v>0</v>
      </c>
      <c r="J15" s="111">
        <v>0</v>
      </c>
      <c r="K15" s="44"/>
      <c r="L15" s="44"/>
      <c r="M15" s="45">
        <v>0</v>
      </c>
    </row>
    <row r="16" spans="1:13" ht="54.75" customHeight="1" thickBot="1" x14ac:dyDescent="0.3">
      <c r="A16" s="267"/>
      <c r="B16" s="112">
        <v>6</v>
      </c>
      <c r="C16" s="113" t="s">
        <v>202</v>
      </c>
      <c r="D16" s="114" t="s">
        <v>204</v>
      </c>
      <c r="E16" s="115">
        <f t="shared" si="2"/>
        <v>0</v>
      </c>
      <c r="F16" s="115">
        <f t="shared" si="3"/>
        <v>0</v>
      </c>
      <c r="G16" s="115">
        <f t="shared" si="4"/>
        <v>0</v>
      </c>
      <c r="H16" s="115">
        <v>0</v>
      </c>
      <c r="I16" s="115">
        <f t="shared" si="5"/>
        <v>0</v>
      </c>
      <c r="J16" s="116">
        <v>0</v>
      </c>
      <c r="K16" s="46"/>
      <c r="L16" s="46"/>
      <c r="M16" s="47">
        <v>0</v>
      </c>
    </row>
    <row r="17" spans="1:14" ht="63.75" customHeight="1" thickBot="1" x14ac:dyDescent="0.3">
      <c r="A17" s="265" t="s">
        <v>44</v>
      </c>
      <c r="B17" s="117">
        <v>2</v>
      </c>
      <c r="C17" s="118">
        <v>3</v>
      </c>
      <c r="D17" s="104" t="s">
        <v>205</v>
      </c>
      <c r="E17" s="105">
        <f t="shared" si="2"/>
        <v>0</v>
      </c>
      <c r="F17" s="105">
        <f t="shared" si="3"/>
        <v>0</v>
      </c>
      <c r="G17" s="105">
        <f t="shared" si="4"/>
        <v>0</v>
      </c>
      <c r="H17" s="105">
        <v>0</v>
      </c>
      <c r="I17" s="105">
        <f t="shared" si="5"/>
        <v>0</v>
      </c>
      <c r="J17" s="106">
        <v>0</v>
      </c>
      <c r="K17" s="48" t="s">
        <v>45</v>
      </c>
      <c r="L17" s="42"/>
      <c r="M17" s="43">
        <v>0</v>
      </c>
    </row>
    <row r="18" spans="1:14" ht="54.75" customHeight="1" thickBot="1" x14ac:dyDescent="0.3">
      <c r="A18" s="266"/>
      <c r="B18" s="119">
        <v>2</v>
      </c>
      <c r="C18" s="120">
        <v>3</v>
      </c>
      <c r="D18" s="109" t="s">
        <v>205</v>
      </c>
      <c r="E18" s="110">
        <f t="shared" si="2"/>
        <v>0</v>
      </c>
      <c r="F18" s="110">
        <f t="shared" si="3"/>
        <v>0</v>
      </c>
      <c r="G18" s="110">
        <f t="shared" si="4"/>
        <v>0</v>
      </c>
      <c r="H18" s="110">
        <v>0</v>
      </c>
      <c r="I18" s="110">
        <f t="shared" si="5"/>
        <v>0</v>
      </c>
      <c r="J18" s="111">
        <v>0</v>
      </c>
      <c r="K18" s="261" t="s">
        <v>199</v>
      </c>
      <c r="L18" s="262"/>
      <c r="M18" s="45">
        <v>0</v>
      </c>
    </row>
    <row r="19" spans="1:14" ht="45.75" customHeight="1" thickBot="1" x14ac:dyDescent="0.3">
      <c r="A19" s="266"/>
      <c r="B19" s="119" t="s">
        <v>47</v>
      </c>
      <c r="C19" s="120">
        <v>3</v>
      </c>
      <c r="D19" s="109" t="s">
        <v>205</v>
      </c>
      <c r="E19" s="110">
        <f t="shared" si="2"/>
        <v>0</v>
      </c>
      <c r="F19" s="110">
        <f t="shared" si="3"/>
        <v>0</v>
      </c>
      <c r="G19" s="110">
        <f t="shared" si="4"/>
        <v>0</v>
      </c>
      <c r="H19" s="110">
        <v>0</v>
      </c>
      <c r="I19" s="110">
        <f t="shared" si="5"/>
        <v>0</v>
      </c>
      <c r="J19" s="111">
        <v>0</v>
      </c>
      <c r="K19" s="261" t="s">
        <v>49</v>
      </c>
      <c r="L19" s="262"/>
      <c r="M19" s="45">
        <v>0</v>
      </c>
    </row>
    <row r="20" spans="1:14" ht="63.75" customHeight="1" thickBot="1" x14ac:dyDescent="0.3">
      <c r="A20" s="267"/>
      <c r="B20" s="121" t="s">
        <v>47</v>
      </c>
      <c r="C20" s="122">
        <v>3</v>
      </c>
      <c r="D20" s="114" t="s">
        <v>205</v>
      </c>
      <c r="E20" s="115">
        <f t="shared" si="2"/>
        <v>0</v>
      </c>
      <c r="F20" s="115">
        <f t="shared" si="3"/>
        <v>0</v>
      </c>
      <c r="G20" s="115">
        <f t="shared" si="4"/>
        <v>0</v>
      </c>
      <c r="H20" s="115">
        <v>0</v>
      </c>
      <c r="I20" s="115">
        <f t="shared" si="5"/>
        <v>0</v>
      </c>
      <c r="J20" s="116">
        <v>0</v>
      </c>
      <c r="K20" s="49" t="s">
        <v>50</v>
      </c>
      <c r="L20" s="46"/>
      <c r="M20" s="47">
        <v>0</v>
      </c>
    </row>
    <row r="21" spans="1:14" ht="15.75" thickBot="1" x14ac:dyDescent="0.3">
      <c r="A21" s="263" t="s">
        <v>0</v>
      </c>
      <c r="B21" s="264"/>
      <c r="C21" s="264"/>
      <c r="D21" s="264"/>
      <c r="E21" s="23">
        <f t="shared" ref="E21:J21" si="6">SUM(E6:E20)</f>
        <v>0</v>
      </c>
      <c r="F21" s="23">
        <f t="shared" si="6"/>
        <v>0</v>
      </c>
      <c r="G21" s="23">
        <f t="shared" si="6"/>
        <v>0</v>
      </c>
      <c r="H21" s="23">
        <f t="shared" si="6"/>
        <v>0</v>
      </c>
      <c r="I21" s="23">
        <f t="shared" si="6"/>
        <v>0</v>
      </c>
      <c r="J21" s="23">
        <f t="shared" si="6"/>
        <v>0</v>
      </c>
      <c r="K21"/>
      <c r="L21"/>
      <c r="M21" s="21">
        <f>F21+G21</f>
        <v>0</v>
      </c>
    </row>
    <row r="26" spans="1:14" ht="15.75" thickBot="1" x14ac:dyDescent="0.3">
      <c r="A26" s="283" t="s">
        <v>315</v>
      </c>
      <c r="B26" s="284"/>
      <c r="C26" s="284"/>
      <c r="D26" s="284"/>
      <c r="E26" s="284"/>
      <c r="F26" s="284"/>
      <c r="G26" s="284"/>
      <c r="H26" s="284"/>
      <c r="I26" s="284"/>
      <c r="J26" s="284"/>
      <c r="K26" s="284"/>
      <c r="L26" s="284"/>
      <c r="M26" s="284"/>
    </row>
    <row r="27" spans="1:14" ht="15.75" thickBot="1" x14ac:dyDescent="0.3">
      <c r="A27" s="268" t="s">
        <v>13</v>
      </c>
      <c r="B27" s="270" t="s">
        <v>12</v>
      </c>
      <c r="C27" s="270" t="s">
        <v>11</v>
      </c>
      <c r="D27" s="270" t="s">
        <v>10</v>
      </c>
      <c r="E27" s="274" t="s">
        <v>9</v>
      </c>
      <c r="F27" s="275"/>
      <c r="G27" s="275"/>
      <c r="H27" s="275"/>
      <c r="I27" s="276"/>
      <c r="J27" s="270" t="s">
        <v>8</v>
      </c>
    </row>
    <row r="28" spans="1:14" x14ac:dyDescent="0.25">
      <c r="A28" s="269"/>
      <c r="B28" s="271"/>
      <c r="C28" s="271"/>
      <c r="D28" s="271"/>
      <c r="E28" s="277" t="s">
        <v>7</v>
      </c>
      <c r="F28" s="279" t="s">
        <v>6</v>
      </c>
      <c r="G28" s="280"/>
      <c r="H28" s="279" t="s">
        <v>5</v>
      </c>
      <c r="I28" s="280"/>
      <c r="J28" s="271"/>
    </row>
    <row r="29" spans="1:14" ht="15.75" thickBot="1" x14ac:dyDescent="0.3">
      <c r="A29" s="269"/>
      <c r="B29" s="271"/>
      <c r="C29" s="271"/>
      <c r="D29" s="271"/>
      <c r="E29" s="278"/>
      <c r="F29" s="281"/>
      <c r="G29" s="282"/>
      <c r="H29" s="281"/>
      <c r="I29" s="282"/>
      <c r="J29" s="271"/>
    </row>
    <row r="30" spans="1:14" ht="45.75" thickBot="1" x14ac:dyDescent="0.3">
      <c r="A30" s="269"/>
      <c r="B30" s="271"/>
      <c r="C30" s="271"/>
      <c r="D30" s="271"/>
      <c r="E30" s="278"/>
      <c r="F30" s="25" t="s">
        <v>4</v>
      </c>
      <c r="G30" s="25" t="s">
        <v>3</v>
      </c>
      <c r="H30" s="25" t="s">
        <v>2</v>
      </c>
      <c r="I30" s="25" t="s">
        <v>1</v>
      </c>
      <c r="J30" s="271"/>
    </row>
    <row r="31" spans="1:14" ht="36.75" thickBot="1" x14ac:dyDescent="0.3">
      <c r="A31" s="175" t="s">
        <v>21</v>
      </c>
      <c r="B31" s="102">
        <v>4</v>
      </c>
      <c r="C31" s="103" t="s">
        <v>200</v>
      </c>
      <c r="D31" s="104" t="s">
        <v>201</v>
      </c>
      <c r="E31" s="105">
        <f>F31+G31+H31+I31</f>
        <v>0</v>
      </c>
      <c r="F31" s="105">
        <f>0.85*M31</f>
        <v>0</v>
      </c>
      <c r="G31" s="105">
        <f>0.15*M31</f>
        <v>0</v>
      </c>
      <c r="H31" s="105">
        <f>((F31+G31)/95)*5</f>
        <v>0</v>
      </c>
      <c r="I31" s="105">
        <v>0</v>
      </c>
      <c r="J31" s="106">
        <v>0</v>
      </c>
      <c r="K31" s="170"/>
      <c r="L31" s="171"/>
      <c r="M31" s="172"/>
    </row>
    <row r="32" spans="1:14" ht="27.75" thickBot="1" x14ac:dyDescent="0.3">
      <c r="A32" s="266" t="s">
        <v>27</v>
      </c>
      <c r="B32" s="107">
        <v>6</v>
      </c>
      <c r="C32" s="108" t="s">
        <v>202</v>
      </c>
      <c r="D32" s="109" t="s">
        <v>203</v>
      </c>
      <c r="E32" s="110">
        <f>F32+G32+H32+I32</f>
        <v>0</v>
      </c>
      <c r="F32" s="110">
        <f>0.75*M32</f>
        <v>0</v>
      </c>
      <c r="G32" s="110">
        <f>0.25*M32</f>
        <v>0</v>
      </c>
      <c r="H32" s="110">
        <v>0</v>
      </c>
      <c r="I32" s="110">
        <f>((F32+G32)/(100-N32))*N32</f>
        <v>0</v>
      </c>
      <c r="J32" s="111">
        <v>0</v>
      </c>
      <c r="K32" s="44"/>
      <c r="L32" s="44"/>
      <c r="M32" s="54"/>
      <c r="N32" s="173"/>
    </row>
    <row r="33" spans="1:14" ht="18" x14ac:dyDescent="0.25">
      <c r="A33" s="266"/>
      <c r="B33" s="160">
        <v>6</v>
      </c>
      <c r="C33" s="162" t="s">
        <v>202</v>
      </c>
      <c r="D33" s="163" t="s">
        <v>204</v>
      </c>
      <c r="E33" s="164">
        <f>F33+G33+H33+I33</f>
        <v>0</v>
      </c>
      <c r="F33" s="166">
        <f>0.75*M33</f>
        <v>0</v>
      </c>
      <c r="G33" s="166">
        <f>0.25*M33</f>
        <v>0</v>
      </c>
      <c r="H33" s="166">
        <v>0</v>
      </c>
      <c r="I33" s="166">
        <f>((F33+G33)/(100-N33))*N33</f>
        <v>0</v>
      </c>
      <c r="J33" s="167">
        <v>0</v>
      </c>
      <c r="K33" s="44"/>
      <c r="L33" s="169"/>
      <c r="M33" s="54"/>
      <c r="N33" s="173"/>
    </row>
    <row r="34" spans="1:14" ht="36.75" thickBot="1" x14ac:dyDescent="0.3">
      <c r="A34" s="159" t="s">
        <v>44</v>
      </c>
      <c r="B34" s="121" t="s">
        <v>47</v>
      </c>
      <c r="C34" s="161">
        <v>3</v>
      </c>
      <c r="D34" s="114" t="s">
        <v>205</v>
      </c>
      <c r="E34" s="165">
        <f>F34+G34+H34+I34</f>
        <v>0</v>
      </c>
      <c r="F34" s="115">
        <f>0.75*M34</f>
        <v>0</v>
      </c>
      <c r="G34" s="115">
        <f>0.25*M34</f>
        <v>0</v>
      </c>
      <c r="H34" s="115">
        <v>0</v>
      </c>
      <c r="I34" s="115">
        <f>((F34+G34)/(100-N34))*N34</f>
        <v>0</v>
      </c>
      <c r="J34" s="116">
        <v>0</v>
      </c>
      <c r="K34" s="168"/>
      <c r="L34" s="169"/>
      <c r="M34" s="174"/>
    </row>
    <row r="35" spans="1:14" ht="15.75" thickBot="1" x14ac:dyDescent="0.3">
      <c r="A35" s="263" t="s">
        <v>0</v>
      </c>
      <c r="B35" s="264"/>
      <c r="C35" s="264"/>
      <c r="D35" s="264"/>
      <c r="E35" s="23">
        <f t="shared" ref="E35:J35" si="7">SUM(E31:E34)</f>
        <v>0</v>
      </c>
      <c r="F35" s="23">
        <f t="shared" si="7"/>
        <v>0</v>
      </c>
      <c r="G35" s="23">
        <f t="shared" si="7"/>
        <v>0</v>
      </c>
      <c r="H35" s="23">
        <f t="shared" si="7"/>
        <v>0</v>
      </c>
      <c r="I35" s="23">
        <f t="shared" si="7"/>
        <v>0</v>
      </c>
      <c r="J35" s="23">
        <f t="shared" si="7"/>
        <v>0</v>
      </c>
      <c r="K35"/>
      <c r="L35"/>
      <c r="M35" s="21"/>
    </row>
    <row r="39" spans="1:14" x14ac:dyDescent="0.25">
      <c r="C39" s="176"/>
    </row>
  </sheetData>
  <mergeCells count="28">
    <mergeCell ref="A35:D35"/>
    <mergeCell ref="A32:A33"/>
    <mergeCell ref="A26:M26"/>
    <mergeCell ref="A27:A30"/>
    <mergeCell ref="B27:B30"/>
    <mergeCell ref="C27:C30"/>
    <mergeCell ref="D27:D30"/>
    <mergeCell ref="E27:I27"/>
    <mergeCell ref="J27:J30"/>
    <mergeCell ref="E28:E30"/>
    <mergeCell ref="F28:G29"/>
    <mergeCell ref="H28:I29"/>
    <mergeCell ref="A1:M1"/>
    <mergeCell ref="E2:I2"/>
    <mergeCell ref="J2:J5"/>
    <mergeCell ref="E3:E5"/>
    <mergeCell ref="F3:G4"/>
    <mergeCell ref="H3:I4"/>
    <mergeCell ref="A6:A11"/>
    <mergeCell ref="A2:A5"/>
    <mergeCell ref="B2:B5"/>
    <mergeCell ref="C2:C5"/>
    <mergeCell ref="D2:D5"/>
    <mergeCell ref="K18:L18"/>
    <mergeCell ref="K19:L19"/>
    <mergeCell ref="A21:D21"/>
    <mergeCell ref="A12:A16"/>
    <mergeCell ref="A17:A20"/>
  </mergeCells>
  <pageMargins left="0.7" right="0.7" top="0.78740157499999996" bottom="0.78740157499999996" header="0.3" footer="0.3"/>
  <pageSetup paperSize="8" scale="95" orientation="landscape"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2" zoomScale="90" zoomScaleNormal="90" zoomScaleSheetLayoutView="100" workbookViewId="0">
      <selection activeCell="A26" sqref="A26:M35"/>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6384" width="9.140625" style="1"/>
  </cols>
  <sheetData>
    <row r="1" spans="1:13" ht="15.75" thickBot="1" x14ac:dyDescent="0.3">
      <c r="A1" s="272" t="s">
        <v>265</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0</v>
      </c>
      <c r="F6" s="105">
        <f t="shared" ref="F6:F11" si="0">0.85*M6</f>
        <v>0</v>
      </c>
      <c r="G6" s="105">
        <f t="shared" ref="G6:G11" si="1">0.15*M6</f>
        <v>0</v>
      </c>
      <c r="H6" s="105">
        <f>((F6+G6)/95)*5</f>
        <v>0</v>
      </c>
      <c r="I6" s="105">
        <v>0</v>
      </c>
      <c r="J6" s="106">
        <v>0</v>
      </c>
      <c r="K6" s="42"/>
      <c r="L6" s="42"/>
      <c r="M6" s="43">
        <v>0</v>
      </c>
    </row>
    <row r="7" spans="1:13" ht="45.75" customHeight="1" thickBot="1" x14ac:dyDescent="0.3">
      <c r="A7" s="266"/>
      <c r="B7" s="107">
        <v>4</v>
      </c>
      <c r="C7" s="108" t="s">
        <v>200</v>
      </c>
      <c r="D7" s="109" t="s">
        <v>201</v>
      </c>
      <c r="E7" s="110">
        <f>F7+G7+H7+I7</f>
        <v>0</v>
      </c>
      <c r="F7" s="110">
        <f t="shared" si="0"/>
        <v>0</v>
      </c>
      <c r="G7" s="110">
        <f t="shared" si="1"/>
        <v>0</v>
      </c>
      <c r="H7" s="110">
        <f>((F7+G7)/95)*5</f>
        <v>0</v>
      </c>
      <c r="I7" s="110">
        <v>0</v>
      </c>
      <c r="J7" s="111">
        <v>0</v>
      </c>
      <c r="K7" s="44"/>
      <c r="L7" s="44"/>
      <c r="M7" s="45">
        <v>0</v>
      </c>
    </row>
    <row r="8" spans="1:13" ht="72.75" customHeight="1" thickBot="1" x14ac:dyDescent="0.3">
      <c r="A8" s="266"/>
      <c r="B8" s="107">
        <v>4</v>
      </c>
      <c r="C8" s="108" t="s">
        <v>200</v>
      </c>
      <c r="D8" s="109" t="s">
        <v>201</v>
      </c>
      <c r="E8" s="110">
        <f t="shared" ref="E8:E20" si="2">F8+G8+H8+I8</f>
        <v>0</v>
      </c>
      <c r="F8" s="110">
        <f t="shared" si="0"/>
        <v>0</v>
      </c>
      <c r="G8" s="110">
        <f t="shared" si="1"/>
        <v>0</v>
      </c>
      <c r="H8" s="110">
        <f>((F8+G8)/95)*5</f>
        <v>0</v>
      </c>
      <c r="I8" s="110">
        <v>0</v>
      </c>
      <c r="J8" s="111">
        <v>0</v>
      </c>
      <c r="K8" s="44"/>
      <c r="L8" s="44"/>
      <c r="M8" s="45">
        <v>0</v>
      </c>
    </row>
    <row r="9" spans="1:13" ht="54.75" customHeight="1" thickBot="1" x14ac:dyDescent="0.3">
      <c r="A9" s="266"/>
      <c r="B9" s="107">
        <v>4</v>
      </c>
      <c r="C9" s="108" t="s">
        <v>200</v>
      </c>
      <c r="D9" s="109" t="s">
        <v>201</v>
      </c>
      <c r="E9" s="110">
        <f t="shared" si="2"/>
        <v>0</v>
      </c>
      <c r="F9" s="110">
        <f t="shared" si="0"/>
        <v>0</v>
      </c>
      <c r="G9" s="110">
        <f t="shared" si="1"/>
        <v>0</v>
      </c>
      <c r="H9" s="110">
        <v>0</v>
      </c>
      <c r="I9" s="110">
        <f>((F9+G9)/95)*5</f>
        <v>0</v>
      </c>
      <c r="J9" s="111">
        <v>0</v>
      </c>
      <c r="K9" s="44"/>
      <c r="L9" s="44"/>
      <c r="M9" s="45">
        <v>0</v>
      </c>
    </row>
    <row r="10" spans="1:13" ht="45.75" customHeight="1" thickBot="1" x14ac:dyDescent="0.3">
      <c r="A10" s="266"/>
      <c r="B10" s="107">
        <v>4</v>
      </c>
      <c r="C10" s="108" t="s">
        <v>200</v>
      </c>
      <c r="D10" s="109" t="s">
        <v>201</v>
      </c>
      <c r="E10" s="110">
        <f t="shared" si="2"/>
        <v>0</v>
      </c>
      <c r="F10" s="110">
        <f t="shared" si="0"/>
        <v>0</v>
      </c>
      <c r="G10" s="110">
        <f t="shared" si="1"/>
        <v>0</v>
      </c>
      <c r="H10" s="110">
        <f>(((F10+G10)/95)*5)/10*9</f>
        <v>0</v>
      </c>
      <c r="I10" s="110">
        <f>(((F10+G10)/95)*5)/10</f>
        <v>0</v>
      </c>
      <c r="J10" s="111">
        <v>0</v>
      </c>
      <c r="K10" s="44"/>
      <c r="L10" s="44"/>
      <c r="M10" s="45">
        <v>0</v>
      </c>
    </row>
    <row r="11" spans="1:13" ht="72.75" customHeight="1" thickBot="1" x14ac:dyDescent="0.3">
      <c r="A11" s="267"/>
      <c r="B11" s="112">
        <v>4</v>
      </c>
      <c r="C11" s="113" t="s">
        <v>200</v>
      </c>
      <c r="D11" s="114" t="s">
        <v>201</v>
      </c>
      <c r="E11" s="115">
        <f t="shared" si="2"/>
        <v>0</v>
      </c>
      <c r="F11" s="115">
        <f t="shared" si="0"/>
        <v>0</v>
      </c>
      <c r="G11" s="115">
        <f t="shared" si="1"/>
        <v>0</v>
      </c>
      <c r="H11" s="115">
        <f>(((F11+G11)/95)*5)</f>
        <v>0</v>
      </c>
      <c r="I11" s="115">
        <v>0</v>
      </c>
      <c r="J11" s="116">
        <v>0</v>
      </c>
      <c r="K11" s="46"/>
      <c r="L11" s="46"/>
      <c r="M11" s="47">
        <v>0</v>
      </c>
    </row>
    <row r="12" spans="1:13" ht="33" customHeight="1" thickBot="1" x14ac:dyDescent="0.3">
      <c r="A12" s="265" t="s">
        <v>27</v>
      </c>
      <c r="B12" s="102">
        <v>6</v>
      </c>
      <c r="C12" s="103" t="s">
        <v>202</v>
      </c>
      <c r="D12" s="104" t="s">
        <v>203</v>
      </c>
      <c r="E12" s="105">
        <f t="shared" si="2"/>
        <v>0</v>
      </c>
      <c r="F12" s="105">
        <f t="shared" ref="F12:F20" si="3">0.75*M12</f>
        <v>0</v>
      </c>
      <c r="G12" s="105">
        <f t="shared" ref="G12:G20" si="4">0.25*M12</f>
        <v>0</v>
      </c>
      <c r="H12" s="105">
        <v>0</v>
      </c>
      <c r="I12" s="105">
        <f>((F12+G12)/(100-N12))*N12</f>
        <v>0</v>
      </c>
      <c r="J12" s="106">
        <v>0</v>
      </c>
      <c r="K12" s="42"/>
      <c r="L12" s="42"/>
      <c r="M12" s="43">
        <v>0</v>
      </c>
    </row>
    <row r="13" spans="1:13" ht="34.5" customHeight="1" thickBot="1" x14ac:dyDescent="0.3">
      <c r="A13" s="266"/>
      <c r="B13" s="107">
        <v>6</v>
      </c>
      <c r="C13" s="108" t="s">
        <v>202</v>
      </c>
      <c r="D13" s="109" t="s">
        <v>203</v>
      </c>
      <c r="E13" s="110">
        <f t="shared" si="2"/>
        <v>0</v>
      </c>
      <c r="F13" s="110">
        <f t="shared" si="3"/>
        <v>0</v>
      </c>
      <c r="G13" s="110">
        <f t="shared" si="4"/>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2"/>
        <v>0</v>
      </c>
      <c r="F14" s="110">
        <f t="shared" si="3"/>
        <v>0</v>
      </c>
      <c r="G14" s="110">
        <f t="shared" si="4"/>
        <v>0</v>
      </c>
      <c r="H14" s="110">
        <v>0</v>
      </c>
      <c r="I14" s="110">
        <f>((F14+G14)/(100-N14))*N14</f>
        <v>0</v>
      </c>
      <c r="J14" s="111">
        <v>0</v>
      </c>
      <c r="K14" s="44"/>
      <c r="L14" s="44"/>
      <c r="M14" s="45">
        <v>0</v>
      </c>
    </row>
    <row r="15" spans="1:13" ht="81.75" customHeight="1" thickBot="1" x14ac:dyDescent="0.3">
      <c r="A15" s="266"/>
      <c r="B15" s="107">
        <v>6</v>
      </c>
      <c r="C15" s="108" t="s">
        <v>202</v>
      </c>
      <c r="D15" s="109" t="s">
        <v>203</v>
      </c>
      <c r="E15" s="110">
        <f t="shared" si="2"/>
        <v>0</v>
      </c>
      <c r="F15" s="110">
        <f t="shared" si="3"/>
        <v>0</v>
      </c>
      <c r="G15" s="110">
        <f t="shared" si="4"/>
        <v>0</v>
      </c>
      <c r="H15" s="110">
        <v>0</v>
      </c>
      <c r="I15" s="110">
        <f t="shared" ref="I15:I20" si="5">((F15+G15)/(100-N15))*N15</f>
        <v>0</v>
      </c>
      <c r="J15" s="111">
        <v>0</v>
      </c>
      <c r="K15" s="44"/>
      <c r="L15" s="44"/>
      <c r="M15" s="45">
        <v>0</v>
      </c>
    </row>
    <row r="16" spans="1:13" ht="54.75" customHeight="1" thickBot="1" x14ac:dyDescent="0.3">
      <c r="A16" s="267"/>
      <c r="B16" s="112">
        <v>6</v>
      </c>
      <c r="C16" s="113" t="s">
        <v>202</v>
      </c>
      <c r="D16" s="114" t="s">
        <v>204</v>
      </c>
      <c r="E16" s="115">
        <f t="shared" si="2"/>
        <v>0</v>
      </c>
      <c r="F16" s="115">
        <f t="shared" si="3"/>
        <v>0</v>
      </c>
      <c r="G16" s="115">
        <f t="shared" si="4"/>
        <v>0</v>
      </c>
      <c r="H16" s="115">
        <v>0</v>
      </c>
      <c r="I16" s="115">
        <f t="shared" si="5"/>
        <v>0</v>
      </c>
      <c r="J16" s="116">
        <v>0</v>
      </c>
      <c r="K16" s="46"/>
      <c r="L16" s="46"/>
      <c r="M16" s="47">
        <v>0</v>
      </c>
    </row>
    <row r="17" spans="1:13" ht="63.75" customHeight="1" thickBot="1" x14ac:dyDescent="0.3">
      <c r="A17" s="265" t="s">
        <v>44</v>
      </c>
      <c r="B17" s="117">
        <v>2</v>
      </c>
      <c r="C17" s="118">
        <v>3</v>
      </c>
      <c r="D17" s="104" t="s">
        <v>205</v>
      </c>
      <c r="E17" s="105">
        <f t="shared" si="2"/>
        <v>0</v>
      </c>
      <c r="F17" s="105">
        <f t="shared" si="3"/>
        <v>0</v>
      </c>
      <c r="G17" s="105">
        <f t="shared" si="4"/>
        <v>0</v>
      </c>
      <c r="H17" s="105">
        <v>0</v>
      </c>
      <c r="I17" s="105">
        <f t="shared" si="5"/>
        <v>0</v>
      </c>
      <c r="J17" s="106">
        <v>0</v>
      </c>
      <c r="K17" s="48" t="s">
        <v>45</v>
      </c>
      <c r="L17" s="42"/>
      <c r="M17" s="43">
        <v>0</v>
      </c>
    </row>
    <row r="18" spans="1:13" ht="54.75" customHeight="1" thickBot="1" x14ac:dyDescent="0.3">
      <c r="A18" s="266"/>
      <c r="B18" s="119">
        <v>2</v>
      </c>
      <c r="C18" s="120">
        <v>3</v>
      </c>
      <c r="D18" s="109" t="s">
        <v>205</v>
      </c>
      <c r="E18" s="110">
        <f t="shared" si="2"/>
        <v>0</v>
      </c>
      <c r="F18" s="110">
        <f t="shared" si="3"/>
        <v>0</v>
      </c>
      <c r="G18" s="110">
        <f t="shared" si="4"/>
        <v>0</v>
      </c>
      <c r="H18" s="110">
        <v>0</v>
      </c>
      <c r="I18" s="110">
        <f t="shared" si="5"/>
        <v>0</v>
      </c>
      <c r="J18" s="111">
        <v>0</v>
      </c>
      <c r="K18" s="261" t="s">
        <v>199</v>
      </c>
      <c r="L18" s="262"/>
      <c r="M18" s="45">
        <v>0</v>
      </c>
    </row>
    <row r="19" spans="1:13" ht="45.75" customHeight="1" thickBot="1" x14ac:dyDescent="0.3">
      <c r="A19" s="266"/>
      <c r="B19" s="119" t="s">
        <v>47</v>
      </c>
      <c r="C19" s="120">
        <v>3</v>
      </c>
      <c r="D19" s="109" t="s">
        <v>205</v>
      </c>
      <c r="E19" s="110">
        <f t="shared" si="2"/>
        <v>0</v>
      </c>
      <c r="F19" s="110">
        <f t="shared" si="3"/>
        <v>0</v>
      </c>
      <c r="G19" s="110">
        <f t="shared" si="4"/>
        <v>0</v>
      </c>
      <c r="H19" s="110">
        <v>0</v>
      </c>
      <c r="I19" s="110">
        <f t="shared" si="5"/>
        <v>0</v>
      </c>
      <c r="J19" s="111">
        <v>0</v>
      </c>
      <c r="K19" s="261" t="s">
        <v>49</v>
      </c>
      <c r="L19" s="262"/>
      <c r="M19" s="45">
        <v>0</v>
      </c>
    </row>
    <row r="20" spans="1:13" ht="63.75" customHeight="1" thickBot="1" x14ac:dyDescent="0.3">
      <c r="A20" s="267"/>
      <c r="B20" s="121" t="s">
        <v>47</v>
      </c>
      <c r="C20" s="122">
        <v>3</v>
      </c>
      <c r="D20" s="114" t="s">
        <v>205</v>
      </c>
      <c r="E20" s="115">
        <f t="shared" si="2"/>
        <v>0</v>
      </c>
      <c r="F20" s="115">
        <f t="shared" si="3"/>
        <v>0</v>
      </c>
      <c r="G20" s="115">
        <f t="shared" si="4"/>
        <v>0</v>
      </c>
      <c r="H20" s="115">
        <v>0</v>
      </c>
      <c r="I20" s="115">
        <f t="shared" si="5"/>
        <v>0</v>
      </c>
      <c r="J20" s="116">
        <v>0</v>
      </c>
      <c r="K20" s="49" t="s">
        <v>50</v>
      </c>
      <c r="L20" s="46"/>
      <c r="M20" s="47">
        <v>0</v>
      </c>
    </row>
    <row r="21" spans="1:13" ht="15.75" thickBot="1" x14ac:dyDescent="0.3">
      <c r="A21" s="263" t="s">
        <v>0</v>
      </c>
      <c r="B21" s="264"/>
      <c r="C21" s="264"/>
      <c r="D21" s="264"/>
      <c r="E21" s="23">
        <f t="shared" ref="E21:J21" si="6">SUM(E6:E20)</f>
        <v>0</v>
      </c>
      <c r="F21" s="23">
        <f t="shared" si="6"/>
        <v>0</v>
      </c>
      <c r="G21" s="23">
        <f t="shared" si="6"/>
        <v>0</v>
      </c>
      <c r="H21" s="23">
        <f t="shared" si="6"/>
        <v>0</v>
      </c>
      <c r="I21" s="23">
        <f t="shared" si="6"/>
        <v>0</v>
      </c>
      <c r="J21" s="23">
        <f t="shared" si="6"/>
        <v>0</v>
      </c>
      <c r="K21"/>
      <c r="L21"/>
      <c r="M21" s="21">
        <f>F21+G21</f>
        <v>0</v>
      </c>
    </row>
    <row r="26" spans="1:13" ht="15.75" thickBot="1" x14ac:dyDescent="0.3">
      <c r="A26" s="283" t="s">
        <v>314</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0</v>
      </c>
      <c r="F31" s="105">
        <f>0.85*M31</f>
        <v>0</v>
      </c>
      <c r="G31" s="105">
        <f>0.15*M31</f>
        <v>0</v>
      </c>
      <c r="H31" s="105">
        <f>((F31+G31)/95)*5</f>
        <v>0</v>
      </c>
      <c r="I31" s="105">
        <v>0</v>
      </c>
      <c r="J31" s="106">
        <v>0</v>
      </c>
      <c r="K31" s="170"/>
      <c r="L31" s="171"/>
      <c r="M31" s="172"/>
    </row>
    <row r="32" spans="1:13" ht="27.75" thickBot="1" x14ac:dyDescent="0.3">
      <c r="A32" s="266" t="s">
        <v>27</v>
      </c>
      <c r="B32" s="107">
        <v>6</v>
      </c>
      <c r="C32" s="108" t="s">
        <v>202</v>
      </c>
      <c r="D32" s="109" t="s">
        <v>203</v>
      </c>
      <c r="E32" s="110">
        <f>F32+G32+H32+I32</f>
        <v>0</v>
      </c>
      <c r="F32" s="110">
        <f>0.75*M32</f>
        <v>0</v>
      </c>
      <c r="G32" s="110">
        <f>0.25*M32</f>
        <v>0</v>
      </c>
      <c r="H32" s="110">
        <v>0</v>
      </c>
      <c r="I32" s="110">
        <f>((F32+G32)/(100-N32))*N32</f>
        <v>0</v>
      </c>
      <c r="J32" s="111">
        <v>0</v>
      </c>
      <c r="K32" s="44"/>
      <c r="L32" s="44"/>
      <c r="M32" s="54"/>
    </row>
    <row r="33" spans="1:13" ht="18" x14ac:dyDescent="0.25">
      <c r="A33" s="266"/>
      <c r="B33" s="160">
        <v>6</v>
      </c>
      <c r="C33" s="162" t="s">
        <v>202</v>
      </c>
      <c r="D33" s="163" t="s">
        <v>204</v>
      </c>
      <c r="E33" s="164">
        <f>F33+G33+H33+I33</f>
        <v>0</v>
      </c>
      <c r="F33" s="166">
        <f>0.75*M33</f>
        <v>0</v>
      </c>
      <c r="G33" s="166">
        <f>0.25*M33</f>
        <v>0</v>
      </c>
      <c r="H33" s="166">
        <v>0</v>
      </c>
      <c r="I33" s="166">
        <f>((F33+G33)/(100-N33))*N33</f>
        <v>0</v>
      </c>
      <c r="J33" s="167">
        <v>0</v>
      </c>
      <c r="K33" s="44"/>
      <c r="L33" s="169"/>
      <c r="M33" s="54"/>
    </row>
    <row r="34" spans="1:13" ht="36.75" thickBot="1" x14ac:dyDescent="0.3">
      <c r="A34" s="159" t="s">
        <v>44</v>
      </c>
      <c r="B34" s="121" t="s">
        <v>47</v>
      </c>
      <c r="C34" s="161">
        <v>3</v>
      </c>
      <c r="D34" s="114" t="s">
        <v>205</v>
      </c>
      <c r="E34" s="165">
        <f>F34+G34+H34+I34</f>
        <v>0</v>
      </c>
      <c r="F34" s="115">
        <f>0.75*M34</f>
        <v>0</v>
      </c>
      <c r="G34" s="115">
        <f>0.25*M34</f>
        <v>0</v>
      </c>
      <c r="H34" s="115">
        <v>0</v>
      </c>
      <c r="I34" s="115">
        <f>((F34+G34)/(100-N34))*N34</f>
        <v>0</v>
      </c>
      <c r="J34" s="116">
        <v>0</v>
      </c>
      <c r="K34" s="168"/>
      <c r="L34" s="169"/>
      <c r="M34" s="174"/>
    </row>
    <row r="35" spans="1:13" ht="15.75" thickBot="1" x14ac:dyDescent="0.3">
      <c r="A35" s="263" t="s">
        <v>0</v>
      </c>
      <c r="B35" s="264"/>
      <c r="C35" s="264"/>
      <c r="D35" s="264"/>
      <c r="E35" s="23">
        <f t="shared" ref="E35:J35" si="7">SUM(E31:E34)</f>
        <v>0</v>
      </c>
      <c r="F35" s="23">
        <f t="shared" si="7"/>
        <v>0</v>
      </c>
      <c r="G35" s="23">
        <f t="shared" si="7"/>
        <v>0</v>
      </c>
      <c r="H35" s="23">
        <f t="shared" si="7"/>
        <v>0</v>
      </c>
      <c r="I35" s="23">
        <f t="shared" si="7"/>
        <v>0</v>
      </c>
      <c r="J35" s="23">
        <f t="shared" si="7"/>
        <v>0</v>
      </c>
      <c r="K35"/>
      <c r="L35"/>
      <c r="M35" s="21"/>
    </row>
  </sheetData>
  <mergeCells count="28">
    <mergeCell ref="A32:A33"/>
    <mergeCell ref="A35:D35"/>
    <mergeCell ref="A26:M26"/>
    <mergeCell ref="A27:A30"/>
    <mergeCell ref="B27:B30"/>
    <mergeCell ref="C27:C30"/>
    <mergeCell ref="D27:D30"/>
    <mergeCell ref="E27:I27"/>
    <mergeCell ref="J27:J30"/>
    <mergeCell ref="E28:E30"/>
    <mergeCell ref="F28:G29"/>
    <mergeCell ref="H28:I29"/>
    <mergeCell ref="A1:M1"/>
    <mergeCell ref="E2:I2"/>
    <mergeCell ref="J2:J5"/>
    <mergeCell ref="E3:E5"/>
    <mergeCell ref="F3:G4"/>
    <mergeCell ref="H3:I4"/>
    <mergeCell ref="A21:D21"/>
    <mergeCell ref="A2:A5"/>
    <mergeCell ref="B2:B5"/>
    <mergeCell ref="C2:C5"/>
    <mergeCell ref="D2:D5"/>
    <mergeCell ref="K18:L18"/>
    <mergeCell ref="K19:L19"/>
    <mergeCell ref="A6:A11"/>
    <mergeCell ref="A12:A16"/>
    <mergeCell ref="A17:A20"/>
  </mergeCells>
  <pageMargins left="0.7" right="0.7" top="0.78740157499999996" bottom="0.78740157499999996" header="0.3" footer="0.3"/>
  <pageSetup paperSize="8" scale="95" orientation="landscape" r:id="rId1"/>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6" zoomScale="90" zoomScaleNormal="90" zoomScaleSheetLayoutView="10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85546875" style="1" bestFit="1" customWidth="1"/>
    <col min="14" max="16384" width="9.140625" style="1"/>
  </cols>
  <sheetData>
    <row r="1" spans="1:13" ht="15.75" thickBot="1" x14ac:dyDescent="0.3">
      <c r="A1" s="272" t="s">
        <v>266</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6315.7894736842109</v>
      </c>
      <c r="F6" s="105">
        <f>0.85*M6+900</f>
        <v>6000</v>
      </c>
      <c r="G6" s="105">
        <v>0</v>
      </c>
      <c r="H6" s="105">
        <f>((F6+G6)/95)*5</f>
        <v>315.78947368421052</v>
      </c>
      <c r="I6" s="105">
        <v>0</v>
      </c>
      <c r="J6" s="106">
        <v>0</v>
      </c>
      <c r="K6" s="42"/>
      <c r="L6" s="42"/>
      <c r="M6" s="43">
        <f>6000000/1000</f>
        <v>6000</v>
      </c>
    </row>
    <row r="7" spans="1:13" ht="45.75" customHeight="1" thickBot="1" x14ac:dyDescent="0.3">
      <c r="A7" s="266"/>
      <c r="B7" s="107">
        <v>4</v>
      </c>
      <c r="C7" s="108" t="s">
        <v>200</v>
      </c>
      <c r="D7" s="109" t="s">
        <v>201</v>
      </c>
      <c r="E7" s="110">
        <f t="shared" ref="E7:E16" si="0">F7+G7+H7+I7</f>
        <v>1052.6315789473683</v>
      </c>
      <c r="F7" s="110">
        <f>0.85*M7+150</f>
        <v>1000</v>
      </c>
      <c r="G7" s="110">
        <v>0</v>
      </c>
      <c r="H7" s="110">
        <f>((F7+G7)/95)*5</f>
        <v>52.631578947368425</v>
      </c>
      <c r="I7" s="110">
        <v>0</v>
      </c>
      <c r="J7" s="111">
        <v>0</v>
      </c>
      <c r="K7" s="44"/>
      <c r="L7" s="44"/>
      <c r="M7" s="45">
        <f>1000000/1000</f>
        <v>1000</v>
      </c>
    </row>
    <row r="8" spans="1:13" ht="72.75" customHeight="1" thickBot="1" x14ac:dyDescent="0.3">
      <c r="A8" s="266"/>
      <c r="B8" s="107">
        <v>4</v>
      </c>
      <c r="C8" s="108" t="s">
        <v>200</v>
      </c>
      <c r="D8" s="109" t="s">
        <v>201</v>
      </c>
      <c r="E8" s="110">
        <f t="shared" si="0"/>
        <v>2631.5789473684208</v>
      </c>
      <c r="F8" s="110">
        <f>0.85*M8+375</f>
        <v>2500</v>
      </c>
      <c r="G8" s="110">
        <v>0</v>
      </c>
      <c r="H8" s="110">
        <f>((F8+G8)/95)*5</f>
        <v>131.57894736842104</v>
      </c>
      <c r="I8" s="110">
        <v>0</v>
      </c>
      <c r="J8" s="111">
        <v>0</v>
      </c>
      <c r="K8" s="44"/>
      <c r="L8" s="44"/>
      <c r="M8" s="45">
        <f>2500000/1000</f>
        <v>2500</v>
      </c>
    </row>
    <row r="9" spans="1:13" ht="54.75" customHeight="1" thickBot="1" x14ac:dyDescent="0.3">
      <c r="A9" s="266"/>
      <c r="B9" s="107">
        <v>4</v>
      </c>
      <c r="C9" s="108" t="s">
        <v>200</v>
      </c>
      <c r="D9" s="109" t="s">
        <v>201</v>
      </c>
      <c r="E9" s="110">
        <f t="shared" si="0"/>
        <v>1052.6315789473683</v>
      </c>
      <c r="F9" s="110">
        <f>0.85*M9+150</f>
        <v>1000</v>
      </c>
      <c r="G9" s="110">
        <v>0</v>
      </c>
      <c r="H9" s="110">
        <v>0</v>
      </c>
      <c r="I9" s="110">
        <f>((F9+G9)/95)*5</f>
        <v>52.631578947368425</v>
      </c>
      <c r="J9" s="111">
        <v>0</v>
      </c>
      <c r="K9" s="44"/>
      <c r="L9" s="44"/>
      <c r="M9" s="45">
        <f>1000000/1000</f>
        <v>1000</v>
      </c>
    </row>
    <row r="10" spans="1:13" ht="45.75" customHeight="1" thickBot="1" x14ac:dyDescent="0.3">
      <c r="A10" s="266"/>
      <c r="B10" s="107">
        <v>4</v>
      </c>
      <c r="C10" s="108" t="s">
        <v>200</v>
      </c>
      <c r="D10" s="109" t="s">
        <v>201</v>
      </c>
      <c r="E10" s="110">
        <f t="shared" si="0"/>
        <v>1052.6315789473686</v>
      </c>
      <c r="F10" s="110">
        <f>0.85*M10+150</f>
        <v>1000</v>
      </c>
      <c r="G10" s="110">
        <v>0</v>
      </c>
      <c r="H10" s="110">
        <f>(((F10+G10)/95)*5)/10*9</f>
        <v>47.368421052631582</v>
      </c>
      <c r="I10" s="110">
        <f>(((F10+G10)/95)*5)/10</f>
        <v>5.2631578947368425</v>
      </c>
      <c r="J10" s="111">
        <v>0</v>
      </c>
      <c r="K10" s="44"/>
      <c r="L10" s="44"/>
      <c r="M10" s="45">
        <f>1000000/1000</f>
        <v>1000</v>
      </c>
    </row>
    <row r="11" spans="1:13" ht="72.75" customHeight="1" thickBot="1" x14ac:dyDescent="0.3">
      <c r="A11" s="267"/>
      <c r="B11" s="112">
        <v>4</v>
      </c>
      <c r="C11" s="113" t="s">
        <v>200</v>
      </c>
      <c r="D11" s="114" t="s">
        <v>201</v>
      </c>
      <c r="E11" s="115">
        <f t="shared" si="0"/>
        <v>0</v>
      </c>
      <c r="F11" s="115">
        <f>0.85*M11</f>
        <v>0</v>
      </c>
      <c r="G11" s="115">
        <f>0.15*M11</f>
        <v>0</v>
      </c>
      <c r="H11" s="115">
        <f>(((F11+G11)/95)*5)</f>
        <v>0</v>
      </c>
      <c r="I11" s="115">
        <v>0</v>
      </c>
      <c r="J11" s="116">
        <v>0</v>
      </c>
      <c r="K11" s="46"/>
      <c r="L11" s="46"/>
      <c r="M11" s="47">
        <v>0</v>
      </c>
    </row>
    <row r="12" spans="1:13" ht="32.25" customHeight="1" thickBot="1" x14ac:dyDescent="0.3">
      <c r="A12" s="265" t="s">
        <v>27</v>
      </c>
      <c r="B12" s="102">
        <v>6</v>
      </c>
      <c r="C12" s="103" t="s">
        <v>202</v>
      </c>
      <c r="D12" s="104" t="s">
        <v>203</v>
      </c>
      <c r="E12" s="105">
        <f t="shared" si="0"/>
        <v>4000</v>
      </c>
      <c r="F12" s="105">
        <f>0.75*M12</f>
        <v>1500</v>
      </c>
      <c r="G12" s="105">
        <f>0.25*M12</f>
        <v>500</v>
      </c>
      <c r="H12" s="105">
        <v>0</v>
      </c>
      <c r="I12" s="105">
        <v>2000</v>
      </c>
      <c r="J12" s="106">
        <v>0</v>
      </c>
      <c r="K12" s="42"/>
      <c r="L12" s="42"/>
      <c r="M12" s="43">
        <f>2000000/1000</f>
        <v>2000</v>
      </c>
    </row>
    <row r="13" spans="1:13" ht="33" customHeight="1" thickBot="1" x14ac:dyDescent="0.3">
      <c r="A13" s="266"/>
      <c r="B13" s="107">
        <v>6</v>
      </c>
      <c r="C13" s="108" t="s">
        <v>202</v>
      </c>
      <c r="D13" s="109" t="s">
        <v>203</v>
      </c>
      <c r="E13" s="110">
        <f t="shared" si="0"/>
        <v>1250</v>
      </c>
      <c r="F13" s="110">
        <f>0.75*M13</f>
        <v>750</v>
      </c>
      <c r="G13" s="110">
        <f>0.25*M13</f>
        <v>250</v>
      </c>
      <c r="H13" s="110">
        <v>0</v>
      </c>
      <c r="I13" s="110">
        <v>250</v>
      </c>
      <c r="J13" s="111">
        <v>0</v>
      </c>
      <c r="K13" s="44"/>
      <c r="L13" s="44"/>
      <c r="M13" s="45">
        <f>1000000/1000</f>
        <v>1000</v>
      </c>
    </row>
    <row r="14" spans="1:13" ht="63.75" customHeight="1" thickBot="1" x14ac:dyDescent="0.3">
      <c r="A14" s="266"/>
      <c r="B14" s="107">
        <v>6</v>
      </c>
      <c r="C14" s="108" t="s">
        <v>202</v>
      </c>
      <c r="D14" s="109" t="s">
        <v>203</v>
      </c>
      <c r="E14" s="110">
        <f t="shared" si="0"/>
        <v>24444.440000000002</v>
      </c>
      <c r="F14" s="110">
        <f>0.75*M14</f>
        <v>8250</v>
      </c>
      <c r="G14" s="110">
        <f>0.25*M14</f>
        <v>2750</v>
      </c>
      <c r="H14" s="110">
        <v>0</v>
      </c>
      <c r="I14" s="110">
        <v>13444.44</v>
      </c>
      <c r="J14" s="111">
        <v>0</v>
      </c>
      <c r="K14" s="44"/>
      <c r="L14" s="44"/>
      <c r="M14" s="45">
        <f>11000000/1000</f>
        <v>11000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790.84999999999991</v>
      </c>
      <c r="F16" s="115">
        <f>0.75*M16</f>
        <v>474.51</v>
      </c>
      <c r="G16" s="115">
        <f>0.25*M16</f>
        <v>158.16999999999999</v>
      </c>
      <c r="H16" s="115">
        <v>0</v>
      </c>
      <c r="I16" s="115">
        <v>158.16999999999999</v>
      </c>
      <c r="J16" s="116">
        <v>0</v>
      </c>
      <c r="K16" s="46"/>
      <c r="L16" s="46"/>
      <c r="M16" s="47">
        <f>632680/1000</f>
        <v>632.67999999999995</v>
      </c>
    </row>
    <row r="17" spans="1:13" ht="63.75" customHeight="1" thickBot="1" x14ac:dyDescent="0.3">
      <c r="A17" s="265" t="s">
        <v>44</v>
      </c>
      <c r="B17" s="117">
        <v>2</v>
      </c>
      <c r="C17" s="118">
        <v>3</v>
      </c>
      <c r="D17" s="104" t="s">
        <v>205</v>
      </c>
      <c r="E17" s="105">
        <v>1566.24</v>
      </c>
      <c r="F17" s="105">
        <v>1331.3</v>
      </c>
      <c r="G17" s="105">
        <v>78.31</v>
      </c>
      <c r="H17" s="105">
        <v>39.159999999999997</v>
      </c>
      <c r="I17" s="105">
        <v>117.47</v>
      </c>
      <c r="J17" s="106">
        <v>0</v>
      </c>
      <c r="K17" s="287" t="s">
        <v>45</v>
      </c>
      <c r="L17" s="288"/>
      <c r="M17" s="127">
        <v>1566.24</v>
      </c>
    </row>
    <row r="18" spans="1:13" ht="54.75" customHeight="1" thickBot="1" x14ac:dyDescent="0.3">
      <c r="A18" s="266"/>
      <c r="B18" s="119">
        <v>2</v>
      </c>
      <c r="C18" s="120">
        <v>3</v>
      </c>
      <c r="D18" s="109" t="s">
        <v>205</v>
      </c>
      <c r="E18" s="110">
        <v>391.57</v>
      </c>
      <c r="F18" s="110">
        <v>332.83</v>
      </c>
      <c r="G18" s="110">
        <v>48.95</v>
      </c>
      <c r="H18" s="110">
        <v>9.7899999999999991</v>
      </c>
      <c r="I18" s="110">
        <f>((F18+G18)/(100-N18))*N18</f>
        <v>0</v>
      </c>
      <c r="J18" s="111">
        <v>0</v>
      </c>
      <c r="K18" s="285" t="s">
        <v>199</v>
      </c>
      <c r="L18" s="286"/>
      <c r="M18" s="124">
        <v>391.57</v>
      </c>
    </row>
    <row r="19" spans="1:13" ht="45.75" customHeight="1" thickBot="1" x14ac:dyDescent="0.3">
      <c r="A19" s="266"/>
      <c r="B19" s="119" t="s">
        <v>47</v>
      </c>
      <c r="C19" s="120">
        <v>3</v>
      </c>
      <c r="D19" s="109" t="s">
        <v>205</v>
      </c>
      <c r="E19" s="110">
        <v>587.36</v>
      </c>
      <c r="F19" s="110">
        <v>499.25</v>
      </c>
      <c r="G19" s="110">
        <v>29.37</v>
      </c>
      <c r="H19" s="110">
        <v>29.37</v>
      </c>
      <c r="I19" s="110">
        <v>29.37</v>
      </c>
      <c r="J19" s="111">
        <v>0</v>
      </c>
      <c r="K19" s="285" t="s">
        <v>49</v>
      </c>
      <c r="L19" s="286"/>
      <c r="M19" s="124">
        <v>587.36</v>
      </c>
    </row>
    <row r="20" spans="1:13" ht="63.75" customHeight="1" thickBot="1" x14ac:dyDescent="0.3">
      <c r="A20" s="267"/>
      <c r="B20" s="121" t="s">
        <v>47</v>
      </c>
      <c r="C20" s="122">
        <v>3</v>
      </c>
      <c r="D20" s="114" t="s">
        <v>205</v>
      </c>
      <c r="E20" s="115">
        <v>1370.47</v>
      </c>
      <c r="F20" s="115">
        <v>1164.9000000000001</v>
      </c>
      <c r="G20" s="115">
        <v>0</v>
      </c>
      <c r="H20" s="115">
        <v>0</v>
      </c>
      <c r="I20" s="115">
        <v>205.57</v>
      </c>
      <c r="J20" s="116">
        <v>0</v>
      </c>
      <c r="K20" s="289" t="s">
        <v>50</v>
      </c>
      <c r="L20" s="290"/>
      <c r="M20" s="126">
        <v>1340.47</v>
      </c>
    </row>
    <row r="21" spans="1:13" ht="15.75" thickBot="1" x14ac:dyDescent="0.3">
      <c r="A21" s="263" t="s">
        <v>0</v>
      </c>
      <c r="B21" s="264"/>
      <c r="C21" s="264"/>
      <c r="D21" s="264"/>
      <c r="E21" s="23">
        <f t="shared" ref="E21:J21" si="1">SUM(E6:E20)</f>
        <v>46506.193157894733</v>
      </c>
      <c r="F21" s="23">
        <f t="shared" si="1"/>
        <v>25802.79</v>
      </c>
      <c r="G21" s="23">
        <f t="shared" si="1"/>
        <v>3814.7999999999997</v>
      </c>
      <c r="H21" s="23">
        <f t="shared" si="1"/>
        <v>625.6884210526315</v>
      </c>
      <c r="I21" s="23">
        <f t="shared" si="1"/>
        <v>16262.914736842105</v>
      </c>
      <c r="J21" s="23">
        <f t="shared" si="1"/>
        <v>0</v>
      </c>
      <c r="K21"/>
      <c r="L21"/>
      <c r="M21" s="21">
        <f>F21+G21</f>
        <v>29617.59</v>
      </c>
    </row>
    <row r="26" spans="1:13" ht="15.75" thickBot="1" x14ac:dyDescent="0.3">
      <c r="A26" s="283" t="s">
        <v>313</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12105.263157894737</v>
      </c>
      <c r="F31" s="105">
        <f>F6+F7+F8+F9+F10+F11</f>
        <v>11500</v>
      </c>
      <c r="G31" s="105">
        <f>G6+G7+G8+G9+G10+G11</f>
        <v>0</v>
      </c>
      <c r="H31" s="105">
        <f>H6+H7+H8+H9+H10+H11</f>
        <v>547.36842105263156</v>
      </c>
      <c r="I31" s="105">
        <f>I6+I7+I8+I9+I10+I11</f>
        <v>57.894736842105267</v>
      </c>
      <c r="J31" s="106">
        <f>J6+J7+J8+J9+J10+J11</f>
        <v>0</v>
      </c>
      <c r="K31" s="170"/>
      <c r="L31" s="171"/>
      <c r="M31" s="172"/>
    </row>
    <row r="32" spans="1:13" ht="27.75" thickBot="1" x14ac:dyDescent="0.3">
      <c r="A32" s="266" t="s">
        <v>27</v>
      </c>
      <c r="B32" s="107">
        <v>6</v>
      </c>
      <c r="C32" s="108" t="s">
        <v>202</v>
      </c>
      <c r="D32" s="109" t="s">
        <v>203</v>
      </c>
      <c r="E32" s="110">
        <f>F32+G32+H32+I32</f>
        <v>29694.440000000002</v>
      </c>
      <c r="F32" s="110">
        <f>F12+F13+F14+F15</f>
        <v>10500</v>
      </c>
      <c r="G32" s="110">
        <f>G12+G13+G14+G15</f>
        <v>3500</v>
      </c>
      <c r="H32" s="110">
        <f>H12+H13+H14+H15</f>
        <v>0</v>
      </c>
      <c r="I32" s="110">
        <f>I12+I13+I14+I15</f>
        <v>15694.44</v>
      </c>
      <c r="J32" s="111">
        <f>J12+J13+J14+J15</f>
        <v>0</v>
      </c>
      <c r="K32" s="44"/>
      <c r="L32" s="44"/>
      <c r="M32" s="54"/>
    </row>
    <row r="33" spans="1:13" ht="18" x14ac:dyDescent="0.25">
      <c r="A33" s="266"/>
      <c r="B33" s="160">
        <v>6</v>
      </c>
      <c r="C33" s="162" t="s">
        <v>202</v>
      </c>
      <c r="D33" s="163" t="s">
        <v>204</v>
      </c>
      <c r="E33" s="164">
        <f>F33+G33+H33+I33</f>
        <v>790.84999999999991</v>
      </c>
      <c r="F33" s="166">
        <f>F16</f>
        <v>474.51</v>
      </c>
      <c r="G33" s="166">
        <f>G16</f>
        <v>158.16999999999999</v>
      </c>
      <c r="H33" s="166">
        <f>H16</f>
        <v>0</v>
      </c>
      <c r="I33" s="166">
        <f>I16</f>
        <v>158.16999999999999</v>
      </c>
      <c r="J33" s="167">
        <f>J16</f>
        <v>0</v>
      </c>
      <c r="K33" s="44"/>
      <c r="L33" s="169"/>
      <c r="M33" s="54"/>
    </row>
    <row r="34" spans="1:13" ht="36.75" thickBot="1" x14ac:dyDescent="0.3">
      <c r="A34" s="159" t="s">
        <v>44</v>
      </c>
      <c r="B34" s="121" t="s">
        <v>47</v>
      </c>
      <c r="C34" s="161">
        <v>3</v>
      </c>
      <c r="D34" s="114" t="s">
        <v>205</v>
      </c>
      <c r="E34" s="165">
        <f>F34+G34+H34+I34</f>
        <v>3915.6400000000003</v>
      </c>
      <c r="F34" s="115">
        <f>F17+F18+F19+F20</f>
        <v>3328.28</v>
      </c>
      <c r="G34" s="115">
        <f>G17+G18+G19+G20</f>
        <v>156.63</v>
      </c>
      <c r="H34" s="115">
        <f>H17+H18+H19+H20</f>
        <v>78.319999999999993</v>
      </c>
      <c r="I34" s="115">
        <f>I17+I18+I19+I20</f>
        <v>352.40999999999997</v>
      </c>
      <c r="J34" s="116">
        <f>J17+J18+J19+J20</f>
        <v>0</v>
      </c>
      <c r="K34" s="168"/>
      <c r="L34" s="169"/>
      <c r="M34" s="174"/>
    </row>
    <row r="35" spans="1:13" ht="15.75" thickBot="1" x14ac:dyDescent="0.3">
      <c r="A35" s="263" t="s">
        <v>0</v>
      </c>
      <c r="B35" s="264"/>
      <c r="C35" s="264"/>
      <c r="D35" s="264"/>
      <c r="E35" s="23">
        <f t="shared" ref="E35:J35" si="2">SUM(E31:E34)</f>
        <v>46506.193157894733</v>
      </c>
      <c r="F35" s="23">
        <f t="shared" si="2"/>
        <v>25802.789999999997</v>
      </c>
      <c r="G35" s="23">
        <f t="shared" si="2"/>
        <v>3814.8</v>
      </c>
      <c r="H35" s="23">
        <f t="shared" si="2"/>
        <v>625.68842105263161</v>
      </c>
      <c r="I35" s="23">
        <f t="shared" si="2"/>
        <v>16262.914736842105</v>
      </c>
      <c r="J35" s="23">
        <f t="shared" si="2"/>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9:L19"/>
    <mergeCell ref="K18:L18"/>
    <mergeCell ref="K17:L17"/>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9" scale="90" orientation="landscape" r:id="rId1"/>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6" zoomScale="90" zoomScaleNormal="90" zoomScaleSheetLayoutView="90" workbookViewId="0">
      <selection activeCell="I18" sqref="I18"/>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7109375" style="1" customWidth="1"/>
    <col min="14" max="16384" width="9.140625" style="1"/>
  </cols>
  <sheetData>
    <row r="1" spans="1:13" ht="15.75" thickBot="1" x14ac:dyDescent="0.3">
      <c r="A1" s="272" t="s">
        <v>267</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f>0.15*M90</f>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28.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2.25" customHeight="1" thickBot="1" x14ac:dyDescent="0.3">
      <c r="A13" s="266"/>
      <c r="B13" s="107">
        <v>6</v>
      </c>
      <c r="C13" s="108" t="s">
        <v>202</v>
      </c>
      <c r="D13" s="109" t="s">
        <v>203</v>
      </c>
      <c r="E13" s="110">
        <f t="shared" si="0"/>
        <v>1250</v>
      </c>
      <c r="F13" s="110">
        <f>0.75*M13</f>
        <v>750</v>
      </c>
      <c r="G13" s="110">
        <f>0.25*M13</f>
        <v>250</v>
      </c>
      <c r="H13" s="110">
        <v>0</v>
      </c>
      <c r="I13" s="110">
        <v>250</v>
      </c>
      <c r="J13" s="111">
        <v>0</v>
      </c>
      <c r="K13" s="44"/>
      <c r="L13" s="44"/>
      <c r="M13" s="45">
        <f>1000000/1000</f>
        <v>1000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600</v>
      </c>
      <c r="F15" s="110">
        <f>0.75*M15</f>
        <v>225</v>
      </c>
      <c r="G15" s="110">
        <f>0.25*M15</f>
        <v>75</v>
      </c>
      <c r="H15" s="110">
        <v>0</v>
      </c>
      <c r="I15" s="110">
        <v>300</v>
      </c>
      <c r="J15" s="111">
        <v>0</v>
      </c>
      <c r="K15" s="44"/>
      <c r="L15" s="44"/>
      <c r="M15" s="45">
        <f>300000/1000</f>
        <v>300</v>
      </c>
    </row>
    <row r="16" spans="1:13" ht="54.75" customHeight="1" thickBot="1" x14ac:dyDescent="0.3">
      <c r="A16" s="267"/>
      <c r="B16" s="112">
        <v>6</v>
      </c>
      <c r="C16" s="113" t="s">
        <v>202</v>
      </c>
      <c r="D16" s="114" t="s">
        <v>204</v>
      </c>
      <c r="E16" s="115">
        <f t="shared" si="0"/>
        <v>0</v>
      </c>
      <c r="F16" s="115">
        <f>0.75*M16</f>
        <v>0</v>
      </c>
      <c r="G16" s="115">
        <f>0.25*M16</f>
        <v>0</v>
      </c>
      <c r="H16" s="115">
        <v>0</v>
      </c>
      <c r="I16" s="115">
        <f>((F16+G16)/(100-N16))*N16</f>
        <v>0</v>
      </c>
      <c r="J16" s="116">
        <v>0</v>
      </c>
      <c r="K16" s="46"/>
      <c r="L16" s="46"/>
      <c r="M16" s="47">
        <v>0</v>
      </c>
    </row>
    <row r="17" spans="1:13" ht="63.75" customHeight="1" thickBot="1" x14ac:dyDescent="0.3">
      <c r="A17" s="265" t="s">
        <v>44</v>
      </c>
      <c r="B17" s="117">
        <v>2</v>
      </c>
      <c r="C17" s="118">
        <v>3</v>
      </c>
      <c r="D17" s="104" t="s">
        <v>205</v>
      </c>
      <c r="E17" s="105">
        <v>1044.1600000000001</v>
      </c>
      <c r="F17" s="105">
        <v>887.54</v>
      </c>
      <c r="G17" s="105">
        <v>52.21</v>
      </c>
      <c r="H17" s="105">
        <v>26.1</v>
      </c>
      <c r="I17" s="105">
        <v>78.31</v>
      </c>
      <c r="J17" s="106">
        <v>0</v>
      </c>
      <c r="K17" s="291" t="s">
        <v>45</v>
      </c>
      <c r="L17" s="292"/>
      <c r="M17" s="43">
        <v>1044.1600000000001</v>
      </c>
    </row>
    <row r="18" spans="1:13" ht="54.75" customHeight="1" thickBot="1" x14ac:dyDescent="0.3">
      <c r="A18" s="266"/>
      <c r="B18" s="119">
        <v>2</v>
      </c>
      <c r="C18" s="120">
        <v>3</v>
      </c>
      <c r="D18" s="109" t="s">
        <v>205</v>
      </c>
      <c r="E18" s="110">
        <v>261.04000000000002</v>
      </c>
      <c r="F18" s="110">
        <v>221.88</v>
      </c>
      <c r="G18" s="110">
        <v>32.630000000000003</v>
      </c>
      <c r="H18" s="110">
        <v>6.53</v>
      </c>
      <c r="I18" s="110">
        <f>((F18+G18)/(100-N18))*N18</f>
        <v>0</v>
      </c>
      <c r="J18" s="111">
        <v>0</v>
      </c>
      <c r="K18" s="261" t="s">
        <v>199</v>
      </c>
      <c r="L18" s="262"/>
      <c r="M18" s="45">
        <v>261.04000000000002</v>
      </c>
    </row>
    <row r="19" spans="1:13" ht="45.75" customHeight="1" thickBot="1" x14ac:dyDescent="0.3">
      <c r="A19" s="266"/>
      <c r="B19" s="119" t="s">
        <v>47</v>
      </c>
      <c r="C19" s="120">
        <v>3</v>
      </c>
      <c r="D19" s="109" t="s">
        <v>205</v>
      </c>
      <c r="E19" s="110">
        <v>391.57</v>
      </c>
      <c r="F19" s="110">
        <v>332.83</v>
      </c>
      <c r="G19" s="110">
        <v>19.579999999999998</v>
      </c>
      <c r="H19" s="110">
        <v>19.579999999999998</v>
      </c>
      <c r="I19" s="110">
        <v>19.579999999999998</v>
      </c>
      <c r="J19" s="111">
        <v>0</v>
      </c>
      <c r="K19" s="261" t="s">
        <v>49</v>
      </c>
      <c r="L19" s="262"/>
      <c r="M19" s="45">
        <v>391.57</v>
      </c>
    </row>
    <row r="20" spans="1:13" ht="63.75" customHeight="1" thickBot="1" x14ac:dyDescent="0.3">
      <c r="A20" s="267"/>
      <c r="B20" s="121" t="s">
        <v>47</v>
      </c>
      <c r="C20" s="122">
        <v>3</v>
      </c>
      <c r="D20" s="114" t="s">
        <v>205</v>
      </c>
      <c r="E20" s="115">
        <v>913.64</v>
      </c>
      <c r="F20" s="115">
        <v>776.59</v>
      </c>
      <c r="G20" s="115">
        <v>0</v>
      </c>
      <c r="H20" s="115">
        <v>0</v>
      </c>
      <c r="I20" s="115">
        <v>137.05000000000001</v>
      </c>
      <c r="J20" s="116">
        <v>0</v>
      </c>
      <c r="K20" s="293" t="s">
        <v>50</v>
      </c>
      <c r="L20" s="294"/>
      <c r="M20" s="126">
        <v>913.64</v>
      </c>
    </row>
    <row r="21" spans="1:13" ht="15.75" thickBot="1" x14ac:dyDescent="0.3">
      <c r="A21" s="263" t="s">
        <v>0</v>
      </c>
      <c r="B21" s="264"/>
      <c r="C21" s="264"/>
      <c r="D21" s="264"/>
      <c r="E21" s="23">
        <f t="shared" ref="E21:J21" si="1">SUM(E6:E20)</f>
        <v>14897.874736842106</v>
      </c>
      <c r="F21" s="23">
        <f t="shared" si="1"/>
        <v>10263.8315</v>
      </c>
      <c r="G21" s="23">
        <f t="shared" si="1"/>
        <v>965.42000000000007</v>
      </c>
      <c r="H21" s="23">
        <f t="shared" si="1"/>
        <v>303.89376315789468</v>
      </c>
      <c r="I21" s="23">
        <f t="shared" si="1"/>
        <v>3364.7294736842105</v>
      </c>
      <c r="J21" s="23">
        <f t="shared" si="1"/>
        <v>0</v>
      </c>
      <c r="K21"/>
      <c r="L21"/>
      <c r="M21" s="21">
        <f>F21+G21</f>
        <v>11229.2515</v>
      </c>
    </row>
    <row r="26" spans="1:13" ht="15.75" thickBot="1" x14ac:dyDescent="0.3">
      <c r="A26" s="283" t="s">
        <v>312</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6538</v>
      </c>
      <c r="F32" s="110">
        <f>F12+F13+F14+F15</f>
        <v>2583</v>
      </c>
      <c r="G32" s="110">
        <f>G12+G13+G14+G15</f>
        <v>861</v>
      </c>
      <c r="H32" s="110">
        <f>H12+H13+H14+H15</f>
        <v>0</v>
      </c>
      <c r="I32" s="110">
        <f>I12+I13+I14+I15</f>
        <v>3094</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F34+G34+H34+I34</f>
        <v>2610.4100000000003</v>
      </c>
      <c r="F34" s="115">
        <f>F17+F18+F19+F20</f>
        <v>2218.84</v>
      </c>
      <c r="G34" s="115">
        <f>G17+G18+G19+G20</f>
        <v>104.42</v>
      </c>
      <c r="H34" s="115">
        <f>H17+H18+H19+H20</f>
        <v>52.21</v>
      </c>
      <c r="I34" s="115">
        <f>I17+I18+I19+I20</f>
        <v>234.94</v>
      </c>
      <c r="J34" s="116">
        <f>J17+J18+J19+J20</f>
        <v>0</v>
      </c>
      <c r="K34" s="168"/>
      <c r="L34" s="169"/>
      <c r="M34" s="174"/>
    </row>
    <row r="35" spans="1:13" ht="15.75" thickBot="1" x14ac:dyDescent="0.3">
      <c r="A35" s="263" t="s">
        <v>0</v>
      </c>
      <c r="B35" s="264"/>
      <c r="C35" s="264"/>
      <c r="D35" s="264"/>
      <c r="E35" s="23">
        <f t="shared" ref="E35:J35" si="2">SUM(E31:E34)</f>
        <v>14897.874736842106</v>
      </c>
      <c r="F35" s="23">
        <f t="shared" si="2"/>
        <v>10263.8315</v>
      </c>
      <c r="G35" s="23">
        <f t="shared" si="2"/>
        <v>965.42</v>
      </c>
      <c r="H35" s="23">
        <f t="shared" si="2"/>
        <v>303.89376315789474</v>
      </c>
      <c r="I35" s="23">
        <f t="shared" si="2"/>
        <v>3364.7294736842105</v>
      </c>
      <c r="J35" s="23">
        <f t="shared" si="2"/>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4" orientation="landscape" r:id="rId1"/>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6" zoomScale="90" zoomScaleNormal="90" zoomScaleSheetLayoutView="100" workbookViewId="0">
      <selection activeCell="E17" sqref="E17:M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2.140625" style="1" customWidth="1"/>
    <col min="14" max="16384" width="9.140625" style="1"/>
  </cols>
  <sheetData>
    <row r="1" spans="1:13" ht="15.75" thickBot="1" x14ac:dyDescent="0.3">
      <c r="A1" s="272" t="s">
        <v>268</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40.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3.75" customHeight="1" thickBot="1" x14ac:dyDescent="0.3">
      <c r="A13" s="266"/>
      <c r="B13" s="107">
        <v>6</v>
      </c>
      <c r="C13" s="108" t="s">
        <v>202</v>
      </c>
      <c r="D13" s="109" t="s">
        <v>203</v>
      </c>
      <c r="E13" s="110">
        <f t="shared" si="0"/>
        <v>625</v>
      </c>
      <c r="F13" s="110">
        <f>0.75*M13</f>
        <v>375</v>
      </c>
      <c r="G13" s="110">
        <f>0.25*M13</f>
        <v>125</v>
      </c>
      <c r="H13" s="110">
        <v>0</v>
      </c>
      <c r="I13" s="110">
        <v>125</v>
      </c>
      <c r="J13" s="111">
        <v>0</v>
      </c>
      <c r="K13" s="44"/>
      <c r="L13" s="44"/>
      <c r="M13" s="45">
        <f>500000/1000</f>
        <v>500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395.42999999999995</v>
      </c>
      <c r="F16" s="115">
        <f>0.75*M16</f>
        <v>237.255</v>
      </c>
      <c r="G16" s="115">
        <f>0.25*M16</f>
        <v>79.084999999999994</v>
      </c>
      <c r="H16" s="115">
        <v>0</v>
      </c>
      <c r="I16" s="115">
        <v>79.09</v>
      </c>
      <c r="J16" s="116">
        <v>0</v>
      </c>
      <c r="K16" s="46"/>
      <c r="L16" s="46"/>
      <c r="M16" s="47">
        <f>316340/1000</f>
        <v>316.33999999999997</v>
      </c>
    </row>
    <row r="17" spans="1:13" ht="63.75" customHeight="1" thickBot="1" x14ac:dyDescent="0.3">
      <c r="A17" s="265" t="s">
        <v>44</v>
      </c>
      <c r="B17" s="117">
        <v>2</v>
      </c>
      <c r="C17" s="118">
        <v>3</v>
      </c>
      <c r="D17" s="104" t="s">
        <v>205</v>
      </c>
      <c r="E17" s="105">
        <v>1044.1600000000001</v>
      </c>
      <c r="F17" s="105">
        <v>887.54</v>
      </c>
      <c r="G17" s="105">
        <v>52.21</v>
      </c>
      <c r="H17" s="105">
        <v>26.1</v>
      </c>
      <c r="I17" s="105">
        <v>78.31</v>
      </c>
      <c r="J17" s="106">
        <v>0</v>
      </c>
      <c r="K17" s="291" t="s">
        <v>45</v>
      </c>
      <c r="L17" s="292"/>
      <c r="M17" s="43">
        <v>1044.1600000000001</v>
      </c>
    </row>
    <row r="18" spans="1:13" ht="54.75" customHeight="1" thickBot="1" x14ac:dyDescent="0.3">
      <c r="A18" s="266"/>
      <c r="B18" s="119">
        <v>2</v>
      </c>
      <c r="C18" s="120">
        <v>3</v>
      </c>
      <c r="D18" s="109" t="s">
        <v>205</v>
      </c>
      <c r="E18" s="110">
        <v>261.04000000000002</v>
      </c>
      <c r="F18" s="110">
        <v>221.88</v>
      </c>
      <c r="G18" s="110">
        <v>32.630000000000003</v>
      </c>
      <c r="H18" s="110">
        <v>6.53</v>
      </c>
      <c r="I18" s="110">
        <f>((F18+G18)/(100-N18))*N18</f>
        <v>0</v>
      </c>
      <c r="J18" s="111">
        <v>0</v>
      </c>
      <c r="K18" s="261" t="s">
        <v>199</v>
      </c>
      <c r="L18" s="262"/>
      <c r="M18" s="45">
        <v>261.04000000000002</v>
      </c>
    </row>
    <row r="19" spans="1:13" ht="45.75" customHeight="1" thickBot="1" x14ac:dyDescent="0.3">
      <c r="A19" s="266"/>
      <c r="B19" s="119" t="s">
        <v>47</v>
      </c>
      <c r="C19" s="120">
        <v>3</v>
      </c>
      <c r="D19" s="109" t="s">
        <v>205</v>
      </c>
      <c r="E19" s="110">
        <v>391.57</v>
      </c>
      <c r="F19" s="110">
        <v>332.83</v>
      </c>
      <c r="G19" s="110">
        <v>19.579999999999998</v>
      </c>
      <c r="H19" s="110">
        <v>19.579999999999998</v>
      </c>
      <c r="I19" s="110">
        <v>19.579999999999998</v>
      </c>
      <c r="J19" s="111">
        <v>0</v>
      </c>
      <c r="K19" s="261" t="s">
        <v>49</v>
      </c>
      <c r="L19" s="262"/>
      <c r="M19" s="45">
        <v>391.57</v>
      </c>
    </row>
    <row r="20" spans="1:13" ht="63.75" customHeight="1" thickBot="1" x14ac:dyDescent="0.3">
      <c r="A20" s="267"/>
      <c r="B20" s="121" t="s">
        <v>47</v>
      </c>
      <c r="C20" s="122">
        <v>3</v>
      </c>
      <c r="D20" s="114" t="s">
        <v>205</v>
      </c>
      <c r="E20" s="115">
        <v>913.64</v>
      </c>
      <c r="F20" s="115">
        <v>776.59</v>
      </c>
      <c r="G20" s="115">
        <v>0</v>
      </c>
      <c r="H20" s="115">
        <v>0</v>
      </c>
      <c r="I20" s="115">
        <v>137.05000000000001</v>
      </c>
      <c r="J20" s="116">
        <v>0</v>
      </c>
      <c r="K20" s="293" t="s">
        <v>50</v>
      </c>
      <c r="L20" s="294"/>
      <c r="M20" s="126">
        <v>913.64</v>
      </c>
    </row>
    <row r="21" spans="1:13" ht="15.75" thickBot="1" x14ac:dyDescent="0.3">
      <c r="A21" s="263" t="s">
        <v>0</v>
      </c>
      <c r="B21" s="264"/>
      <c r="C21" s="264"/>
      <c r="D21" s="264"/>
      <c r="E21" s="23">
        <f t="shared" ref="E21:J21" si="1">SUM(E6:E20)</f>
        <v>14068.304736842107</v>
      </c>
      <c r="F21" s="23">
        <f t="shared" si="1"/>
        <v>9901.0864999999994</v>
      </c>
      <c r="G21" s="23">
        <f t="shared" si="1"/>
        <v>844.50500000000011</v>
      </c>
      <c r="H21" s="23">
        <f t="shared" si="1"/>
        <v>303.89376315789468</v>
      </c>
      <c r="I21" s="23">
        <f t="shared" si="1"/>
        <v>3018.8194736842106</v>
      </c>
      <c r="J21" s="23">
        <f t="shared" si="1"/>
        <v>0</v>
      </c>
      <c r="K21"/>
      <c r="L21"/>
      <c r="M21" s="21">
        <f>F21+G21</f>
        <v>10745.591499999999</v>
      </c>
    </row>
    <row r="26" spans="1:13" ht="15.75" thickBot="1" x14ac:dyDescent="0.3">
      <c r="A26" s="283" t="s">
        <v>311</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5313</v>
      </c>
      <c r="F32" s="110">
        <f>F12+F13+F14+F15</f>
        <v>1983</v>
      </c>
      <c r="G32" s="110">
        <f>G12+G13+G14+G15</f>
        <v>661</v>
      </c>
      <c r="H32" s="110">
        <f>H12+H13+H14+H15</f>
        <v>0</v>
      </c>
      <c r="I32" s="110">
        <f>I12+I13+I14+I15</f>
        <v>2669</v>
      </c>
      <c r="J32" s="111">
        <f>J12+J13+J14+J15</f>
        <v>0</v>
      </c>
      <c r="K32" s="44"/>
      <c r="L32" s="44"/>
      <c r="M32" s="54"/>
    </row>
    <row r="33" spans="1:13" ht="18" x14ac:dyDescent="0.25">
      <c r="A33" s="266"/>
      <c r="B33" s="160">
        <v>6</v>
      </c>
      <c r="C33" s="162" t="s">
        <v>202</v>
      </c>
      <c r="D33" s="163" t="s">
        <v>204</v>
      </c>
      <c r="E33" s="164">
        <f>F33+G33+H33+I33</f>
        <v>395.42999999999995</v>
      </c>
      <c r="F33" s="166">
        <f>F16</f>
        <v>237.255</v>
      </c>
      <c r="G33" s="166">
        <f>G16</f>
        <v>79.084999999999994</v>
      </c>
      <c r="H33" s="166">
        <f>H16</f>
        <v>0</v>
      </c>
      <c r="I33" s="166">
        <f>I16</f>
        <v>79.09</v>
      </c>
      <c r="J33" s="167">
        <f>J16</f>
        <v>0</v>
      </c>
      <c r="K33" s="44"/>
      <c r="L33" s="169"/>
      <c r="M33" s="54"/>
    </row>
    <row r="34" spans="1:13" ht="36.75" thickBot="1" x14ac:dyDescent="0.3">
      <c r="A34" s="159" t="s">
        <v>44</v>
      </c>
      <c r="B34" s="121" t="s">
        <v>47</v>
      </c>
      <c r="C34" s="161">
        <v>3</v>
      </c>
      <c r="D34" s="114" t="s">
        <v>205</v>
      </c>
      <c r="E34" s="165">
        <f>F34+G34+H34+I34</f>
        <v>2610.4100000000003</v>
      </c>
      <c r="F34" s="115">
        <f>F17+F18+F19+F20</f>
        <v>2218.84</v>
      </c>
      <c r="G34" s="115">
        <f>G17+G18+G19+G20</f>
        <v>104.42</v>
      </c>
      <c r="H34" s="115">
        <f>H17+H18+H19+H20</f>
        <v>52.21</v>
      </c>
      <c r="I34" s="115">
        <f>I17+I18+I19+I20</f>
        <v>234.94</v>
      </c>
      <c r="J34" s="116">
        <f>J17+J18+J19+J20</f>
        <v>0</v>
      </c>
      <c r="K34" s="168"/>
      <c r="L34" s="169"/>
      <c r="M34" s="174"/>
    </row>
    <row r="35" spans="1:13" ht="15.75" thickBot="1" x14ac:dyDescent="0.3">
      <c r="A35" s="263" t="s">
        <v>0</v>
      </c>
      <c r="B35" s="264"/>
      <c r="C35" s="264"/>
      <c r="D35" s="264"/>
      <c r="E35" s="23">
        <f t="shared" ref="E35:J35" si="2">SUM(E31:E34)</f>
        <v>14068.304736842107</v>
      </c>
      <c r="F35" s="23">
        <f t="shared" si="2"/>
        <v>9901.0865000000013</v>
      </c>
      <c r="G35" s="23">
        <f t="shared" si="2"/>
        <v>844.505</v>
      </c>
      <c r="H35" s="23">
        <f t="shared" si="2"/>
        <v>303.89376315789474</v>
      </c>
      <c r="I35" s="23">
        <f t="shared" si="2"/>
        <v>3018.8194736842106</v>
      </c>
      <c r="J35" s="23">
        <f t="shared" si="2"/>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3" orientation="landscape" r:id="rId1"/>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7" zoomScale="90" zoomScaleNormal="90" zoomScaleSheetLayoutView="100" workbookViewId="0">
      <selection activeCell="L23" sqref="L23"/>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5703125" style="1" customWidth="1"/>
    <col min="14" max="16384" width="9.140625" style="1"/>
  </cols>
  <sheetData>
    <row r="1" spans="1:13" ht="15.75" thickBot="1" x14ac:dyDescent="0.3">
      <c r="A1" s="272" t="s">
        <v>269</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1012.621052631579</v>
      </c>
      <c r="F8" s="110">
        <f>817.69+144.3</f>
        <v>961.99</v>
      </c>
      <c r="G8" s="110">
        <v>0</v>
      </c>
      <c r="H8" s="110">
        <f>((F8+G8)/95)*5</f>
        <v>50.631052631578946</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29.2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3" customHeight="1" thickBot="1" x14ac:dyDescent="0.3">
      <c r="A13" s="266"/>
      <c r="B13" s="107">
        <v>6</v>
      </c>
      <c r="C13" s="108" t="s">
        <v>202</v>
      </c>
      <c r="D13" s="109" t="s">
        <v>203</v>
      </c>
      <c r="E13" s="110">
        <f t="shared" si="0"/>
        <v>0</v>
      </c>
      <c r="F13" s="110">
        <f>0.75*M13</f>
        <v>0</v>
      </c>
      <c r="G13" s="110">
        <f>0.25*M13</f>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0</v>
      </c>
      <c r="F16" s="115">
        <f>0.75*M16</f>
        <v>0</v>
      </c>
      <c r="G16" s="115">
        <f>0.25*M16</f>
        <v>0</v>
      </c>
      <c r="H16" s="115">
        <v>0</v>
      </c>
      <c r="I16" s="115">
        <f>((F16+G16)/(100-N16))*N16</f>
        <v>0</v>
      </c>
      <c r="J16" s="116">
        <v>0</v>
      </c>
      <c r="K16" s="46"/>
      <c r="L16" s="46"/>
      <c r="M16" s="47">
        <v>0</v>
      </c>
    </row>
    <row r="17" spans="1:13" ht="63.75" customHeight="1" thickBot="1" x14ac:dyDescent="0.3">
      <c r="A17" s="265" t="s">
        <v>44</v>
      </c>
      <c r="B17" s="117">
        <v>2</v>
      </c>
      <c r="C17" s="118">
        <v>3</v>
      </c>
      <c r="D17" s="104" t="s">
        <v>205</v>
      </c>
      <c r="E17" s="105">
        <v>1044.1600000000001</v>
      </c>
      <c r="F17" s="105">
        <v>887.54</v>
      </c>
      <c r="G17" s="105">
        <v>52.21</v>
      </c>
      <c r="H17" s="105">
        <v>26.1</v>
      </c>
      <c r="I17" s="105">
        <v>78.31</v>
      </c>
      <c r="J17" s="106">
        <v>0</v>
      </c>
      <c r="K17" s="291" t="s">
        <v>45</v>
      </c>
      <c r="L17" s="292"/>
      <c r="M17" s="43">
        <v>1044.1600000000001</v>
      </c>
    </row>
    <row r="18" spans="1:13" ht="54.75" customHeight="1" thickBot="1" x14ac:dyDescent="0.3">
      <c r="A18" s="266"/>
      <c r="B18" s="119">
        <v>2</v>
      </c>
      <c r="C18" s="120">
        <v>3</v>
      </c>
      <c r="D18" s="109" t="s">
        <v>205</v>
      </c>
      <c r="E18" s="110">
        <v>261.04000000000002</v>
      </c>
      <c r="F18" s="110">
        <v>221.88</v>
      </c>
      <c r="G18" s="110">
        <v>32.630000000000003</v>
      </c>
      <c r="H18" s="110">
        <v>6.53</v>
      </c>
      <c r="I18" s="110">
        <f>((F18+G18)/(100-N18))*N18</f>
        <v>0</v>
      </c>
      <c r="J18" s="111">
        <v>0</v>
      </c>
      <c r="K18" s="261" t="s">
        <v>199</v>
      </c>
      <c r="L18" s="262"/>
      <c r="M18" s="45">
        <v>261.04000000000002</v>
      </c>
    </row>
    <row r="19" spans="1:13" ht="45.75" customHeight="1" thickBot="1" x14ac:dyDescent="0.3">
      <c r="A19" s="266"/>
      <c r="B19" s="119" t="s">
        <v>47</v>
      </c>
      <c r="C19" s="120">
        <v>3</v>
      </c>
      <c r="D19" s="109" t="s">
        <v>205</v>
      </c>
      <c r="E19" s="110">
        <v>391.57</v>
      </c>
      <c r="F19" s="110">
        <v>332.83</v>
      </c>
      <c r="G19" s="110">
        <v>19.579999999999998</v>
      </c>
      <c r="H19" s="110">
        <v>19.579999999999998</v>
      </c>
      <c r="I19" s="110">
        <v>19.579999999999998</v>
      </c>
      <c r="J19" s="111">
        <v>0</v>
      </c>
      <c r="K19" s="261" t="s">
        <v>49</v>
      </c>
      <c r="L19" s="262"/>
      <c r="M19" s="45">
        <v>391.57</v>
      </c>
    </row>
    <row r="20" spans="1:13" ht="63.75" customHeight="1" thickBot="1" x14ac:dyDescent="0.3">
      <c r="A20" s="267"/>
      <c r="B20" s="121" t="s">
        <v>47</v>
      </c>
      <c r="C20" s="122">
        <v>3</v>
      </c>
      <c r="D20" s="114" t="s">
        <v>205</v>
      </c>
      <c r="E20" s="115">
        <v>913.64</v>
      </c>
      <c r="F20" s="115">
        <v>776.59</v>
      </c>
      <c r="G20" s="115">
        <v>0</v>
      </c>
      <c r="H20" s="115">
        <v>0</v>
      </c>
      <c r="I20" s="115">
        <v>137.05000000000001</v>
      </c>
      <c r="J20" s="116">
        <v>0</v>
      </c>
      <c r="K20" s="293" t="s">
        <v>50</v>
      </c>
      <c r="L20" s="294"/>
      <c r="M20" s="126">
        <v>913.64</v>
      </c>
    </row>
    <row r="21" spans="1:13" ht="15.75" thickBot="1" x14ac:dyDescent="0.3">
      <c r="A21" s="263" t="s">
        <v>0</v>
      </c>
      <c r="B21" s="264"/>
      <c r="C21" s="264"/>
      <c r="D21" s="264"/>
      <c r="E21" s="23">
        <f t="shared" ref="E21:J21" si="1">SUM(E6:E20)</f>
        <v>13047.873157894737</v>
      </c>
      <c r="F21" s="23">
        <f t="shared" si="1"/>
        <v>9288.83</v>
      </c>
      <c r="G21" s="23">
        <f t="shared" si="1"/>
        <v>640.42000000000007</v>
      </c>
      <c r="H21" s="23">
        <f t="shared" si="1"/>
        <v>303.89368421052626</v>
      </c>
      <c r="I21" s="23">
        <f t="shared" si="1"/>
        <v>2814.7294736842105</v>
      </c>
      <c r="J21" s="23">
        <f t="shared" si="1"/>
        <v>0</v>
      </c>
      <c r="K21"/>
      <c r="L21"/>
      <c r="M21" s="21">
        <f>F21+G21</f>
        <v>9929.25</v>
      </c>
    </row>
    <row r="26" spans="1:13" ht="15.75" thickBot="1" x14ac:dyDescent="0.3">
      <c r="A26" s="283" t="s">
        <v>310</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5749.4631578947374</v>
      </c>
      <c r="F31" s="105">
        <f>F6+F7+F8+F9+F10+F11</f>
        <v>5461.99</v>
      </c>
      <c r="G31" s="105">
        <f>G6+G7+G8+G9+G10+G11</f>
        <v>0</v>
      </c>
      <c r="H31" s="105">
        <f>H6+H7+H8+H9+H10+H11</f>
        <v>251.68368421052631</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4688</v>
      </c>
      <c r="F32" s="110">
        <f>F12+F13+F14+F15</f>
        <v>1608</v>
      </c>
      <c r="G32" s="110">
        <f>G12+G13+G14+G15</f>
        <v>536</v>
      </c>
      <c r="H32" s="110">
        <f>H12+H13+H14+H15</f>
        <v>0</v>
      </c>
      <c r="I32" s="110">
        <f>I12+I13+I14+I15</f>
        <v>2544</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F34+G34+H34+I34</f>
        <v>2610.4100000000003</v>
      </c>
      <c r="F34" s="115">
        <f>F17+F18+F19+F20</f>
        <v>2218.84</v>
      </c>
      <c r="G34" s="115">
        <f>G17+G18+G19+G20</f>
        <v>104.42</v>
      </c>
      <c r="H34" s="115">
        <f>H17+H18+H19+H20</f>
        <v>52.21</v>
      </c>
      <c r="I34" s="115">
        <f>I17+I18+I19+I20</f>
        <v>234.94</v>
      </c>
      <c r="J34" s="116">
        <f>J17+J18+J19+J20</f>
        <v>0</v>
      </c>
      <c r="K34" s="168"/>
      <c r="L34" s="169"/>
      <c r="M34" s="174"/>
    </row>
    <row r="35" spans="1:13" ht="15.75" thickBot="1" x14ac:dyDescent="0.3">
      <c r="A35" s="263" t="s">
        <v>0</v>
      </c>
      <c r="B35" s="264"/>
      <c r="C35" s="264"/>
      <c r="D35" s="264"/>
      <c r="E35" s="23">
        <f t="shared" ref="E35:J35" si="2">SUM(E31:E34)</f>
        <v>13047.873157894737</v>
      </c>
      <c r="F35" s="23">
        <f t="shared" si="2"/>
        <v>9288.83</v>
      </c>
      <c r="G35" s="23">
        <f t="shared" si="2"/>
        <v>640.41999999999996</v>
      </c>
      <c r="H35" s="23">
        <f t="shared" si="2"/>
        <v>303.89368421052632</v>
      </c>
      <c r="I35" s="23">
        <f t="shared" si="2"/>
        <v>2814.7294736842105</v>
      </c>
      <c r="J35" s="23">
        <f t="shared" si="2"/>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9" scale="94" orientation="landscape" r:id="rId1"/>
  <rowBreaks count="1" manualBreakCount="1">
    <brk id="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6" zoomScaleNormal="100" zoomScaleSheetLayoutView="10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 style="1" bestFit="1" customWidth="1"/>
    <col min="14" max="16384" width="9.140625" style="1"/>
  </cols>
  <sheetData>
    <row r="1" spans="1:13" ht="15.75" thickBot="1" x14ac:dyDescent="0.3">
      <c r="A1" s="272" t="s">
        <v>270</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33.75" customHeight="1" thickBot="1" x14ac:dyDescent="0.3">
      <c r="A12" s="265" t="s">
        <v>27</v>
      </c>
      <c r="B12" s="102">
        <v>6</v>
      </c>
      <c r="C12" s="103" t="s">
        <v>202</v>
      </c>
      <c r="D12" s="104" t="s">
        <v>203</v>
      </c>
      <c r="E12" s="105">
        <f t="shared" si="0"/>
        <v>1376</v>
      </c>
      <c r="F12" s="105">
        <f>0.75*M12</f>
        <v>516</v>
      </c>
      <c r="G12" s="105">
        <f>0.25*M12</f>
        <v>172</v>
      </c>
      <c r="H12" s="105">
        <v>0</v>
      </c>
      <c r="I12" s="105">
        <f>344*2</f>
        <v>688</v>
      </c>
      <c r="J12" s="106">
        <v>0</v>
      </c>
      <c r="K12" s="128"/>
      <c r="L12" s="128"/>
      <c r="M12" s="127">
        <f>(344000/1000)*2</f>
        <v>688</v>
      </c>
    </row>
    <row r="13" spans="1:13" ht="31.5" customHeight="1" thickBot="1" x14ac:dyDescent="0.3">
      <c r="A13" s="266"/>
      <c r="B13" s="107">
        <v>6</v>
      </c>
      <c r="C13" s="108" t="s">
        <v>202</v>
      </c>
      <c r="D13" s="109" t="s">
        <v>203</v>
      </c>
      <c r="E13" s="110">
        <f t="shared" si="0"/>
        <v>0</v>
      </c>
      <c r="F13" s="110">
        <f>0.75*M13</f>
        <v>0</v>
      </c>
      <c r="G13" s="110">
        <f>0.25*M13</f>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0"/>
        <v>8000</v>
      </c>
      <c r="F14" s="110">
        <f>0.75*M14</f>
        <v>2700</v>
      </c>
      <c r="G14" s="110">
        <f>0.25*M14</f>
        <v>900</v>
      </c>
      <c r="H14" s="110">
        <v>0</v>
      </c>
      <c r="I14" s="110">
        <f>2200*2</f>
        <v>4400</v>
      </c>
      <c r="J14" s="111">
        <v>0</v>
      </c>
      <c r="K14" s="123"/>
      <c r="L14" s="123"/>
      <c r="M14" s="124">
        <f>(1800000/1000)*2</f>
        <v>3600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123"/>
      <c r="L15" s="123"/>
      <c r="M15" s="124">
        <v>0</v>
      </c>
    </row>
    <row r="16" spans="1:13" ht="54.75" customHeight="1" thickBot="1" x14ac:dyDescent="0.3">
      <c r="A16" s="267"/>
      <c r="B16" s="112">
        <v>6</v>
      </c>
      <c r="C16" s="113" t="s">
        <v>202</v>
      </c>
      <c r="D16" s="114" t="s">
        <v>204</v>
      </c>
      <c r="E16" s="115">
        <f t="shared" si="0"/>
        <v>394.99</v>
      </c>
      <c r="F16" s="115">
        <f>ROUND(0.75*M16,2)</f>
        <v>236.99</v>
      </c>
      <c r="G16" s="115">
        <f>ROUND(0.25*M16,2)</f>
        <v>79</v>
      </c>
      <c r="H16" s="115">
        <v>0</v>
      </c>
      <c r="I16" s="115">
        <v>79</v>
      </c>
      <c r="J16" s="116">
        <v>0</v>
      </c>
      <c r="K16" s="125"/>
      <c r="L16" s="125"/>
      <c r="M16" s="126">
        <v>315.98</v>
      </c>
    </row>
    <row r="17" spans="1:13" ht="63.75" customHeight="1" thickBot="1" x14ac:dyDescent="0.3">
      <c r="A17" s="265" t="s">
        <v>44</v>
      </c>
      <c r="B17" s="117">
        <v>2</v>
      </c>
      <c r="C17" s="118">
        <v>3</v>
      </c>
      <c r="D17" s="104" t="s">
        <v>205</v>
      </c>
      <c r="E17" s="105">
        <v>522.08000000000004</v>
      </c>
      <c r="F17" s="105">
        <v>443.77</v>
      </c>
      <c r="G17" s="105">
        <v>26.1</v>
      </c>
      <c r="H17" s="105">
        <v>13.05</v>
      </c>
      <c r="I17" s="105">
        <v>39.159999999999997</v>
      </c>
      <c r="J17" s="106">
        <v>0</v>
      </c>
      <c r="K17" s="287" t="s">
        <v>45</v>
      </c>
      <c r="L17" s="288"/>
      <c r="M17" s="127">
        <v>522.08000000000004</v>
      </c>
    </row>
    <row r="18" spans="1:13" ht="54.75" customHeight="1" thickBot="1" x14ac:dyDescent="0.3">
      <c r="A18" s="266"/>
      <c r="B18" s="119">
        <v>2</v>
      </c>
      <c r="C18" s="120">
        <v>3</v>
      </c>
      <c r="D18" s="109" t="s">
        <v>205</v>
      </c>
      <c r="E18" s="110">
        <v>130.52000000000001</v>
      </c>
      <c r="F18" s="110">
        <v>110.94</v>
      </c>
      <c r="G18" s="110">
        <v>16.32</v>
      </c>
      <c r="H18" s="110">
        <v>3.26</v>
      </c>
      <c r="I18" s="110">
        <f>((F18+G18)/(100-N18))*N18</f>
        <v>0</v>
      </c>
      <c r="J18" s="111">
        <v>0</v>
      </c>
      <c r="K18" s="285" t="s">
        <v>199</v>
      </c>
      <c r="L18" s="286"/>
      <c r="M18" s="124">
        <v>130.52000000000001</v>
      </c>
    </row>
    <row r="19" spans="1:13" ht="45.75" customHeight="1" thickBot="1" x14ac:dyDescent="0.3">
      <c r="A19" s="266"/>
      <c r="B19" s="119" t="s">
        <v>47</v>
      </c>
      <c r="C19" s="120">
        <v>3</v>
      </c>
      <c r="D19" s="109" t="s">
        <v>205</v>
      </c>
      <c r="E19" s="110">
        <v>195.68</v>
      </c>
      <c r="F19" s="110">
        <v>166.34</v>
      </c>
      <c r="G19" s="110">
        <v>9.7799999999999994</v>
      </c>
      <c r="H19" s="110">
        <v>9.7799999999999994</v>
      </c>
      <c r="I19" s="110">
        <v>9.7799999999999994</v>
      </c>
      <c r="J19" s="111">
        <v>0</v>
      </c>
      <c r="K19" s="285" t="s">
        <v>49</v>
      </c>
      <c r="L19" s="286"/>
      <c r="M19" s="124">
        <v>195.68</v>
      </c>
    </row>
    <row r="20" spans="1:13" ht="63.75" customHeight="1" thickBot="1" x14ac:dyDescent="0.3">
      <c r="A20" s="267"/>
      <c r="B20" s="121" t="s">
        <v>47</v>
      </c>
      <c r="C20" s="122">
        <v>3</v>
      </c>
      <c r="D20" s="114" t="s">
        <v>205</v>
      </c>
      <c r="E20" s="115">
        <v>456.83</v>
      </c>
      <c r="F20" s="115">
        <v>388.31</v>
      </c>
      <c r="G20" s="115">
        <v>0</v>
      </c>
      <c r="H20" s="115">
        <v>0</v>
      </c>
      <c r="I20" s="115">
        <v>68.52</v>
      </c>
      <c r="J20" s="116">
        <v>0</v>
      </c>
      <c r="K20" s="293" t="s">
        <v>50</v>
      </c>
      <c r="L20" s="294"/>
      <c r="M20" s="126">
        <v>456.83</v>
      </c>
    </row>
    <row r="21" spans="1:13" ht="15.75" thickBot="1" x14ac:dyDescent="0.3">
      <c r="A21" s="263" t="s">
        <v>0</v>
      </c>
      <c r="B21" s="264"/>
      <c r="C21" s="264"/>
      <c r="D21" s="264"/>
      <c r="E21" s="23">
        <f t="shared" ref="E21:J21" si="1">SUM(E6:E20)</f>
        <v>16825.564736842109</v>
      </c>
      <c r="F21" s="23">
        <f t="shared" si="1"/>
        <v>10024.3415</v>
      </c>
      <c r="G21" s="23">
        <f t="shared" si="1"/>
        <v>1203.1999999999998</v>
      </c>
      <c r="H21" s="23">
        <f t="shared" si="1"/>
        <v>277.77376315789468</v>
      </c>
      <c r="I21" s="23">
        <f t="shared" si="1"/>
        <v>5320.2494736842109</v>
      </c>
      <c r="J21" s="23">
        <f t="shared" si="1"/>
        <v>0</v>
      </c>
      <c r="K21"/>
      <c r="L21"/>
      <c r="M21" s="21">
        <f>F21+G21</f>
        <v>11227.541499999999</v>
      </c>
    </row>
    <row r="26" spans="1:13" ht="15.75" thickBot="1" x14ac:dyDescent="0.3">
      <c r="A26" s="283" t="s">
        <v>309</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9376</v>
      </c>
      <c r="F32" s="110">
        <f>F12+F13+F14+F15</f>
        <v>3216</v>
      </c>
      <c r="G32" s="110">
        <f>G12+G13+G14+G15</f>
        <v>1072</v>
      </c>
      <c r="H32" s="110">
        <f>H12+H13+H14+H15</f>
        <v>0</v>
      </c>
      <c r="I32" s="110">
        <f>I12+I13+I14+I15</f>
        <v>5088</v>
      </c>
      <c r="J32" s="111">
        <f>J12+J13+J14+J15</f>
        <v>0</v>
      </c>
      <c r="K32" s="44"/>
      <c r="L32" s="44"/>
      <c r="M32" s="54"/>
    </row>
    <row r="33" spans="1:13" ht="18" x14ac:dyDescent="0.25">
      <c r="A33" s="266"/>
      <c r="B33" s="160">
        <v>6</v>
      </c>
      <c r="C33" s="162" t="s">
        <v>202</v>
      </c>
      <c r="D33" s="163" t="s">
        <v>204</v>
      </c>
      <c r="E33" s="164">
        <f>F33+G33+H33+I33</f>
        <v>394.99</v>
      </c>
      <c r="F33" s="166">
        <f>F16</f>
        <v>236.99</v>
      </c>
      <c r="G33" s="166">
        <f>G16</f>
        <v>79</v>
      </c>
      <c r="H33" s="166">
        <f>H16</f>
        <v>0</v>
      </c>
      <c r="I33" s="166">
        <f>I16</f>
        <v>79</v>
      </c>
      <c r="J33" s="167">
        <f>J16</f>
        <v>0</v>
      </c>
      <c r="K33" s="44"/>
      <c r="L33" s="169"/>
      <c r="M33" s="54"/>
    </row>
    <row r="34" spans="1:13" ht="36.75" thickBot="1" x14ac:dyDescent="0.3">
      <c r="A34" s="159" t="s">
        <v>44</v>
      </c>
      <c r="B34" s="121" t="s">
        <v>47</v>
      </c>
      <c r="C34" s="161">
        <v>3</v>
      </c>
      <c r="D34" s="114" t="s">
        <v>205</v>
      </c>
      <c r="E34" s="165">
        <f>F34+G34+H34+I34</f>
        <v>1305.1100000000001</v>
      </c>
      <c r="F34" s="115">
        <f>F17+F18+F19+F20</f>
        <v>1109.3600000000001</v>
      </c>
      <c r="G34" s="115">
        <f>G17+G18+G19+G20</f>
        <v>52.2</v>
      </c>
      <c r="H34" s="115">
        <f>H17+H18+H19+H20</f>
        <v>26.090000000000003</v>
      </c>
      <c r="I34" s="115">
        <f>I17+I18+I19+I20</f>
        <v>117.46</v>
      </c>
      <c r="J34" s="116">
        <f>J17+J18+J19+J20</f>
        <v>0</v>
      </c>
      <c r="K34" s="168"/>
      <c r="L34" s="169"/>
      <c r="M34" s="174"/>
    </row>
    <row r="35" spans="1:13" ht="15.75" thickBot="1" x14ac:dyDescent="0.3">
      <c r="A35" s="263" t="s">
        <v>0</v>
      </c>
      <c r="B35" s="264"/>
      <c r="C35" s="264"/>
      <c r="D35" s="264"/>
      <c r="E35" s="23">
        <f t="shared" ref="E35:J35" si="2">SUM(E31:E34)</f>
        <v>16825.564736842105</v>
      </c>
      <c r="F35" s="23">
        <f t="shared" si="2"/>
        <v>10024.3415</v>
      </c>
      <c r="G35" s="23">
        <f t="shared" si="2"/>
        <v>1203.2</v>
      </c>
      <c r="H35" s="23">
        <f t="shared" si="2"/>
        <v>277.77376315789473</v>
      </c>
      <c r="I35" s="23">
        <f t="shared" si="2"/>
        <v>5320.2494736842109</v>
      </c>
      <c r="J35" s="23">
        <f t="shared" si="2"/>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5" orientation="landscape" r:id="rId1"/>
  <rowBreaks count="1" manualBreakCount="1">
    <brk id="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5" zoomScale="90" zoomScaleNormal="90" zoomScaleSheetLayoutView="100" workbookViewId="0">
      <selection activeCell="J41" sqref="J41"/>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 style="1" bestFit="1" customWidth="1"/>
    <col min="14" max="16384" width="9.140625" style="1"/>
  </cols>
  <sheetData>
    <row r="1" spans="1:13" ht="15.75" thickBot="1" x14ac:dyDescent="0.3">
      <c r="A1" s="272" t="s">
        <v>271</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20"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40.5" customHeight="1" thickBot="1" x14ac:dyDescent="0.3">
      <c r="A12" s="265" t="s">
        <v>27</v>
      </c>
      <c r="B12" s="102">
        <v>6</v>
      </c>
      <c r="C12" s="103" t="s">
        <v>202</v>
      </c>
      <c r="D12" s="104" t="s">
        <v>203</v>
      </c>
      <c r="E12" s="105">
        <v>0</v>
      </c>
      <c r="F12" s="105">
        <f t="shared" ref="F12:F20" si="1">0.75*M12</f>
        <v>0</v>
      </c>
      <c r="G12" s="105">
        <f t="shared" ref="G12:G20" si="2">0.25*M12</f>
        <v>0</v>
      </c>
      <c r="H12" s="105">
        <v>0</v>
      </c>
      <c r="I12" s="105">
        <v>0</v>
      </c>
      <c r="J12" s="106">
        <v>0</v>
      </c>
      <c r="K12" s="128"/>
      <c r="L12" s="128"/>
      <c r="M12" s="127">
        <v>0</v>
      </c>
    </row>
    <row r="13" spans="1:13" ht="35.25" customHeight="1" thickBot="1" x14ac:dyDescent="0.3">
      <c r="A13" s="266"/>
      <c r="B13" s="107">
        <v>6</v>
      </c>
      <c r="C13" s="108" t="s">
        <v>202</v>
      </c>
      <c r="D13" s="109" t="s">
        <v>203</v>
      </c>
      <c r="E13" s="110">
        <f t="shared" si="0"/>
        <v>0</v>
      </c>
      <c r="F13" s="110">
        <f t="shared" si="1"/>
        <v>0</v>
      </c>
      <c r="G13" s="110">
        <f t="shared" si="2"/>
        <v>0</v>
      </c>
      <c r="H13" s="110">
        <v>0</v>
      </c>
      <c r="I13" s="110">
        <f>((F13+G13)/(100-N13))*N13</f>
        <v>0</v>
      </c>
      <c r="J13" s="111">
        <v>0</v>
      </c>
      <c r="K13" s="123"/>
      <c r="L13" s="123"/>
      <c r="M13" s="124">
        <v>0</v>
      </c>
    </row>
    <row r="14" spans="1:13" ht="63.75" customHeight="1" thickBot="1" x14ac:dyDescent="0.3">
      <c r="A14" s="266"/>
      <c r="B14" s="107">
        <v>6</v>
      </c>
      <c r="C14" s="108" t="s">
        <v>202</v>
      </c>
      <c r="D14" s="109" t="s">
        <v>203</v>
      </c>
      <c r="E14" s="110">
        <v>0</v>
      </c>
      <c r="F14" s="110">
        <f t="shared" si="1"/>
        <v>0</v>
      </c>
      <c r="G14" s="110">
        <f t="shared" si="2"/>
        <v>0</v>
      </c>
      <c r="H14" s="110">
        <v>0</v>
      </c>
      <c r="I14" s="110">
        <v>0</v>
      </c>
      <c r="J14" s="111">
        <v>0</v>
      </c>
      <c r="K14" s="123"/>
      <c r="L14" s="123"/>
      <c r="M14" s="124">
        <v>0</v>
      </c>
    </row>
    <row r="15" spans="1:13" ht="81.75" customHeight="1" thickBot="1" x14ac:dyDescent="0.3">
      <c r="A15" s="266"/>
      <c r="B15" s="107">
        <v>6</v>
      </c>
      <c r="C15" s="108" t="s">
        <v>202</v>
      </c>
      <c r="D15" s="109" t="s">
        <v>203</v>
      </c>
      <c r="E15" s="110">
        <f t="shared" si="0"/>
        <v>0</v>
      </c>
      <c r="F15" s="110">
        <f t="shared" si="1"/>
        <v>0</v>
      </c>
      <c r="G15" s="110">
        <f t="shared" si="2"/>
        <v>0</v>
      </c>
      <c r="H15" s="110">
        <v>0</v>
      </c>
      <c r="I15" s="110">
        <f t="shared" ref="I15:I20" si="3">((F15+G15)/(100-N15))*N15</f>
        <v>0</v>
      </c>
      <c r="J15" s="111">
        <v>0</v>
      </c>
      <c r="K15" s="44"/>
      <c r="L15" s="44"/>
      <c r="M15" s="45">
        <v>0</v>
      </c>
    </row>
    <row r="16" spans="1:13" ht="54.75" customHeight="1" thickBot="1" x14ac:dyDescent="0.3">
      <c r="A16" s="267"/>
      <c r="B16" s="112">
        <v>6</v>
      </c>
      <c r="C16" s="113" t="s">
        <v>202</v>
      </c>
      <c r="D16" s="114" t="s">
        <v>204</v>
      </c>
      <c r="E16" s="115">
        <f t="shared" si="0"/>
        <v>0</v>
      </c>
      <c r="F16" s="115">
        <f t="shared" si="1"/>
        <v>0</v>
      </c>
      <c r="G16" s="115">
        <f t="shared" si="2"/>
        <v>0</v>
      </c>
      <c r="H16" s="115">
        <v>0</v>
      </c>
      <c r="I16" s="115">
        <f t="shared" si="3"/>
        <v>0</v>
      </c>
      <c r="J16" s="116">
        <v>0</v>
      </c>
      <c r="K16" s="46"/>
      <c r="L16" s="46"/>
      <c r="M16" s="47">
        <v>0</v>
      </c>
    </row>
    <row r="17" spans="1:13" ht="63.75" customHeight="1" thickBot="1" x14ac:dyDescent="0.3">
      <c r="A17" s="265" t="s">
        <v>44</v>
      </c>
      <c r="B17" s="117">
        <v>2</v>
      </c>
      <c r="C17" s="118">
        <v>3</v>
      </c>
      <c r="D17" s="104" t="s">
        <v>205</v>
      </c>
      <c r="E17" s="105">
        <f t="shared" si="0"/>
        <v>0</v>
      </c>
      <c r="F17" s="105">
        <f t="shared" si="1"/>
        <v>0</v>
      </c>
      <c r="G17" s="105">
        <f t="shared" si="2"/>
        <v>0</v>
      </c>
      <c r="H17" s="105">
        <v>0</v>
      </c>
      <c r="I17" s="105">
        <f t="shared" si="3"/>
        <v>0</v>
      </c>
      <c r="J17" s="106">
        <v>0</v>
      </c>
      <c r="K17" s="291" t="s">
        <v>45</v>
      </c>
      <c r="L17" s="292"/>
      <c r="M17" s="43">
        <v>0</v>
      </c>
    </row>
    <row r="18" spans="1:13" ht="54.75" customHeight="1" thickBot="1" x14ac:dyDescent="0.3">
      <c r="A18" s="266"/>
      <c r="B18" s="119">
        <v>2</v>
      </c>
      <c r="C18" s="120">
        <v>3</v>
      </c>
      <c r="D18" s="109" t="s">
        <v>205</v>
      </c>
      <c r="E18" s="110">
        <f t="shared" si="0"/>
        <v>0</v>
      </c>
      <c r="F18" s="110">
        <f t="shared" si="1"/>
        <v>0</v>
      </c>
      <c r="G18" s="110">
        <f t="shared" si="2"/>
        <v>0</v>
      </c>
      <c r="H18" s="110">
        <v>0</v>
      </c>
      <c r="I18" s="110">
        <f t="shared" si="3"/>
        <v>0</v>
      </c>
      <c r="J18" s="111">
        <v>0</v>
      </c>
      <c r="K18" s="261" t="s">
        <v>199</v>
      </c>
      <c r="L18" s="262"/>
      <c r="M18" s="45">
        <v>0</v>
      </c>
    </row>
    <row r="19" spans="1:13" ht="45.75" customHeight="1" thickBot="1" x14ac:dyDescent="0.3">
      <c r="A19" s="266"/>
      <c r="B19" s="119" t="s">
        <v>47</v>
      </c>
      <c r="C19" s="120">
        <v>3</v>
      </c>
      <c r="D19" s="109" t="s">
        <v>205</v>
      </c>
      <c r="E19" s="110">
        <f t="shared" si="0"/>
        <v>0</v>
      </c>
      <c r="F19" s="110">
        <f t="shared" si="1"/>
        <v>0</v>
      </c>
      <c r="G19" s="110">
        <f t="shared" si="2"/>
        <v>0</v>
      </c>
      <c r="H19" s="110">
        <v>0</v>
      </c>
      <c r="I19" s="110">
        <f t="shared" si="3"/>
        <v>0</v>
      </c>
      <c r="J19" s="111">
        <v>0</v>
      </c>
      <c r="K19" s="261" t="s">
        <v>49</v>
      </c>
      <c r="L19" s="262"/>
      <c r="M19" s="45">
        <v>0</v>
      </c>
    </row>
    <row r="20" spans="1:13" ht="63.75" customHeight="1" thickBot="1" x14ac:dyDescent="0.3">
      <c r="A20" s="267"/>
      <c r="B20" s="121" t="s">
        <v>47</v>
      </c>
      <c r="C20" s="122">
        <v>3</v>
      </c>
      <c r="D20" s="114" t="s">
        <v>205</v>
      </c>
      <c r="E20" s="115">
        <f t="shared" si="0"/>
        <v>0</v>
      </c>
      <c r="F20" s="115">
        <f t="shared" si="1"/>
        <v>0</v>
      </c>
      <c r="G20" s="115">
        <f t="shared" si="2"/>
        <v>0</v>
      </c>
      <c r="H20" s="115">
        <v>0</v>
      </c>
      <c r="I20" s="115">
        <f t="shared" si="3"/>
        <v>0</v>
      </c>
      <c r="J20" s="116">
        <v>0</v>
      </c>
      <c r="K20" s="295" t="s">
        <v>50</v>
      </c>
      <c r="L20" s="296"/>
      <c r="M20" s="47">
        <v>0</v>
      </c>
    </row>
    <row r="21" spans="1:13" ht="15.75" thickBot="1" x14ac:dyDescent="0.3">
      <c r="A21" s="263" t="s">
        <v>0</v>
      </c>
      <c r="B21" s="264"/>
      <c r="C21" s="264"/>
      <c r="D21" s="264"/>
      <c r="E21" s="23">
        <f t="shared" ref="E21:J21" si="4">SUM(E6:E20)</f>
        <v>5749.4647368421056</v>
      </c>
      <c r="F21" s="23">
        <f t="shared" si="4"/>
        <v>5461.9915000000001</v>
      </c>
      <c r="G21" s="23">
        <f t="shared" si="4"/>
        <v>0</v>
      </c>
      <c r="H21" s="23">
        <f t="shared" si="4"/>
        <v>251.68376315789473</v>
      </c>
      <c r="I21" s="23">
        <f t="shared" si="4"/>
        <v>35.789473684210527</v>
      </c>
      <c r="J21" s="23">
        <f t="shared" si="4"/>
        <v>0</v>
      </c>
      <c r="K21"/>
      <c r="L21"/>
      <c r="M21" s="21">
        <f>F21+G21</f>
        <v>5461.9915000000001</v>
      </c>
    </row>
    <row r="26" spans="1:13" ht="15.75" thickBot="1" x14ac:dyDescent="0.3">
      <c r="A26" s="283" t="s">
        <v>308</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0</v>
      </c>
      <c r="F32" s="110">
        <f>F12+F13+F14+F15</f>
        <v>0</v>
      </c>
      <c r="G32" s="110">
        <f>G12+G13+G14+G15</f>
        <v>0</v>
      </c>
      <c r="H32" s="110">
        <f>H12+H13+H14+H15</f>
        <v>0</v>
      </c>
      <c r="I32" s="110">
        <f>I12+I13+I14+I15</f>
        <v>0</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F34+G34+H34+I34</f>
        <v>0</v>
      </c>
      <c r="F34" s="115">
        <f>F17+F18+F19+F20</f>
        <v>0</v>
      </c>
      <c r="G34" s="115">
        <f>G17+G18+G19+G20</f>
        <v>0</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5">SUM(E31:E34)</f>
        <v>5749.4647368421056</v>
      </c>
      <c r="F35" s="23">
        <f t="shared" si="5"/>
        <v>5461.9915000000001</v>
      </c>
      <c r="G35" s="23">
        <f t="shared" si="5"/>
        <v>0</v>
      </c>
      <c r="H35" s="23">
        <f t="shared" si="5"/>
        <v>251.68376315789473</v>
      </c>
      <c r="I35" s="23">
        <f t="shared" si="5"/>
        <v>35.789473684210527</v>
      </c>
      <c r="J35" s="23">
        <f t="shared" si="5"/>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5" orientation="landscape" r:id="rId1"/>
  <rowBreaks count="1" manualBreakCount="1">
    <brk id="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25" zoomScale="90" zoomScaleNormal="90" zoomScaleSheetLayoutView="100" zoomScalePageLayoutView="90" workbookViewId="0">
      <selection activeCell="M30" sqref="M3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42578125" style="1" bestFit="1" customWidth="1"/>
    <col min="14" max="15" width="9.140625" style="1"/>
    <col min="16" max="16" width="12.28515625" style="1" customWidth="1"/>
    <col min="17" max="17" width="12.140625" style="1" customWidth="1"/>
    <col min="18" max="18" width="12.7109375" style="1" customWidth="1"/>
    <col min="19" max="16384" width="9.140625" style="1"/>
  </cols>
  <sheetData>
    <row r="1" spans="1:18" ht="15.75" thickBot="1" x14ac:dyDescent="0.3">
      <c r="L1" s="308" t="s">
        <v>14</v>
      </c>
      <c r="M1" s="308"/>
      <c r="N1" s="308"/>
      <c r="O1" s="308"/>
      <c r="P1" s="308"/>
      <c r="Q1" s="308"/>
      <c r="R1" s="308"/>
    </row>
    <row r="2" spans="1:18" ht="36.75" thickBot="1" x14ac:dyDescent="0.3">
      <c r="B2" s="299" t="s">
        <v>263</v>
      </c>
      <c r="C2" s="299"/>
      <c r="D2" s="299"/>
      <c r="E2" s="299"/>
      <c r="F2" s="299"/>
      <c r="G2" s="299"/>
      <c r="H2" s="299"/>
      <c r="I2" s="299"/>
      <c r="J2" s="299"/>
      <c r="K2" s="299"/>
      <c r="L2" s="299"/>
      <c r="N2" s="6" t="s">
        <v>15</v>
      </c>
      <c r="O2" s="7" t="s">
        <v>16</v>
      </c>
      <c r="P2" s="7" t="s">
        <v>17</v>
      </c>
      <c r="Q2" s="7" t="s">
        <v>18</v>
      </c>
      <c r="R2" s="7" t="s">
        <v>19</v>
      </c>
    </row>
    <row r="3" spans="1:18" ht="16.5" thickTop="1" thickBot="1" x14ac:dyDescent="0.3">
      <c r="B3" s="300" t="s">
        <v>272</v>
      </c>
      <c r="C3" s="300"/>
      <c r="D3" s="300"/>
      <c r="E3" s="300"/>
      <c r="F3" s="300"/>
      <c r="G3" s="300"/>
      <c r="H3" s="300"/>
      <c r="I3" s="300"/>
      <c r="J3" s="300"/>
      <c r="K3" s="300"/>
      <c r="L3" s="300"/>
      <c r="N3" s="303" t="s">
        <v>20</v>
      </c>
      <c r="O3" s="8" t="s">
        <v>21</v>
      </c>
      <c r="P3" s="30">
        <f>F16+F17+F18+F19+F20+F21</f>
        <v>38809.949999999997</v>
      </c>
      <c r="Q3" s="30">
        <f>G16+G17+G18+G19+G20+G21</f>
        <v>0</v>
      </c>
      <c r="R3" s="31">
        <f>P3+Q3</f>
        <v>38809.949999999997</v>
      </c>
    </row>
    <row r="4" spans="1:18" ht="15.75" thickBot="1" x14ac:dyDescent="0.3">
      <c r="N4" s="304"/>
      <c r="O4" s="10" t="s">
        <v>22</v>
      </c>
      <c r="P4" s="9"/>
      <c r="Q4" s="9"/>
      <c r="R4" s="11"/>
    </row>
    <row r="5" spans="1:18" ht="26.25" customHeight="1" thickBot="1" x14ac:dyDescent="0.3">
      <c r="N5" s="305"/>
      <c r="O5" s="12" t="s">
        <v>23</v>
      </c>
      <c r="P5" s="35">
        <f>P3+P4</f>
        <v>38809.949999999997</v>
      </c>
      <c r="Q5" s="35">
        <f>Q3+Q4</f>
        <v>0</v>
      </c>
      <c r="R5" s="36">
        <f>R3+R4</f>
        <v>38809.949999999997</v>
      </c>
    </row>
    <row r="6" spans="1:18" ht="15.75" thickBot="1" x14ac:dyDescent="0.3">
      <c r="N6" s="39" t="s">
        <v>24</v>
      </c>
      <c r="O6" s="10" t="s">
        <v>25</v>
      </c>
      <c r="P6" s="30">
        <f>F27+F28+F29+F30</f>
        <v>11094.16</v>
      </c>
      <c r="Q6" s="30">
        <f>G27+G28+G29+G30</f>
        <v>522.09</v>
      </c>
      <c r="R6" s="32">
        <f>P6+Q6</f>
        <v>11616.25</v>
      </c>
    </row>
    <row r="7" spans="1:18" ht="15.75" thickBot="1" x14ac:dyDescent="0.3">
      <c r="N7" s="306" t="s">
        <v>26</v>
      </c>
      <c r="O7" s="13" t="s">
        <v>27</v>
      </c>
      <c r="P7" s="33">
        <f>F22+F23+F24+F25+F26</f>
        <v>20838.759999999998</v>
      </c>
      <c r="Q7" s="33">
        <f>G22+G23+G24+G25+G26</f>
        <v>6946.26</v>
      </c>
      <c r="R7" s="34">
        <f>P7+Q7</f>
        <v>27785.019999999997</v>
      </c>
    </row>
    <row r="8" spans="1:18" ht="24.75" thickBot="1" x14ac:dyDescent="0.3">
      <c r="N8" s="307"/>
      <c r="O8" s="129" t="s">
        <v>28</v>
      </c>
      <c r="P8" s="130">
        <f>P7</f>
        <v>20838.759999999998</v>
      </c>
      <c r="Q8" s="130">
        <f>Q7</f>
        <v>6946.26</v>
      </c>
      <c r="R8" s="131">
        <f>R7</f>
        <v>27785.019999999997</v>
      </c>
    </row>
    <row r="9" spans="1:18" ht="16.5" thickTop="1" thickBot="1" x14ac:dyDescent="0.3">
      <c r="N9" s="14" t="s">
        <v>29</v>
      </c>
      <c r="O9" s="15" t="s">
        <v>0</v>
      </c>
      <c r="P9" s="37">
        <f>P5+P8+P6</f>
        <v>70742.87</v>
      </c>
      <c r="Q9" s="37">
        <f>Q5+Q8+Q6</f>
        <v>7468.35</v>
      </c>
      <c r="R9" s="38">
        <f>R5+R8+R6</f>
        <v>78211.22</v>
      </c>
    </row>
    <row r="10" spans="1:18" ht="15.75" thickBot="1" x14ac:dyDescent="0.3"/>
    <row r="11" spans="1:18" ht="15.75" thickBot="1" x14ac:dyDescent="0.3">
      <c r="A11" s="301" t="s">
        <v>182</v>
      </c>
      <c r="B11" s="302"/>
      <c r="C11" s="302"/>
      <c r="D11" s="302"/>
      <c r="E11" s="302"/>
      <c r="F11" s="302"/>
      <c r="G11" s="302"/>
      <c r="H11" s="302"/>
      <c r="I11" s="302"/>
      <c r="J11" s="302"/>
    </row>
    <row r="12" spans="1:18" ht="18.75" customHeight="1" thickBot="1" x14ac:dyDescent="0.3">
      <c r="A12" s="268" t="s">
        <v>13</v>
      </c>
      <c r="B12" s="270" t="s">
        <v>12</v>
      </c>
      <c r="C12" s="270" t="s">
        <v>11</v>
      </c>
      <c r="D12" s="270" t="s">
        <v>10</v>
      </c>
      <c r="E12" s="274" t="s">
        <v>9</v>
      </c>
      <c r="F12" s="275"/>
      <c r="G12" s="275"/>
      <c r="H12" s="275"/>
      <c r="I12" s="276"/>
      <c r="J12" s="270" t="s">
        <v>8</v>
      </c>
    </row>
    <row r="13" spans="1:18" ht="18.75" customHeight="1" x14ac:dyDescent="0.25">
      <c r="A13" s="269"/>
      <c r="B13" s="271"/>
      <c r="C13" s="271"/>
      <c r="D13" s="271"/>
      <c r="E13" s="277" t="s">
        <v>7</v>
      </c>
      <c r="F13" s="279" t="s">
        <v>6</v>
      </c>
      <c r="G13" s="280"/>
      <c r="H13" s="279" t="s">
        <v>5</v>
      </c>
      <c r="I13" s="280"/>
      <c r="J13" s="271"/>
    </row>
    <row r="14" spans="1:18" ht="9" customHeight="1" thickBot="1" x14ac:dyDescent="0.3">
      <c r="A14" s="269"/>
      <c r="B14" s="271"/>
      <c r="C14" s="271"/>
      <c r="D14" s="271"/>
      <c r="E14" s="278"/>
      <c r="F14" s="281"/>
      <c r="G14" s="282"/>
      <c r="H14" s="281"/>
      <c r="I14" s="282"/>
      <c r="J14" s="271"/>
    </row>
    <row r="15" spans="1:18" ht="57" customHeight="1" thickBot="1" x14ac:dyDescent="0.3">
      <c r="A15" s="269"/>
      <c r="B15" s="271"/>
      <c r="C15" s="271"/>
      <c r="D15" s="271"/>
      <c r="E15" s="278"/>
      <c r="F15" s="25" t="s">
        <v>4</v>
      </c>
      <c r="G15" s="25" t="s">
        <v>3</v>
      </c>
      <c r="H15" s="25" t="s">
        <v>2</v>
      </c>
      <c r="I15" s="25" t="s">
        <v>1</v>
      </c>
      <c r="J15" s="271"/>
    </row>
    <row r="16" spans="1:18" ht="63.75" customHeight="1" thickBot="1" x14ac:dyDescent="0.3">
      <c r="A16" s="265" t="s">
        <v>21</v>
      </c>
      <c r="B16" s="102">
        <v>4</v>
      </c>
      <c r="C16" s="103" t="s">
        <v>200</v>
      </c>
      <c r="D16" s="104" t="s">
        <v>201</v>
      </c>
      <c r="E16" s="105">
        <f>F16+G16+H16+I16</f>
        <v>20526.34</v>
      </c>
      <c r="F16" s="105">
        <f>16575+2925</f>
        <v>19500</v>
      </c>
      <c r="G16" s="105">
        <v>0</v>
      </c>
      <c r="H16" s="105">
        <v>1026.3399999999999</v>
      </c>
      <c r="I16" s="105">
        <v>0</v>
      </c>
      <c r="J16" s="106">
        <v>0</v>
      </c>
      <c r="K16" s="42"/>
      <c r="L16" s="42"/>
      <c r="M16" s="43">
        <v>19500</v>
      </c>
    </row>
    <row r="17" spans="1:15" ht="45.75" customHeight="1" thickBot="1" x14ac:dyDescent="0.3">
      <c r="A17" s="266"/>
      <c r="B17" s="107">
        <v>4</v>
      </c>
      <c r="C17" s="108" t="s">
        <v>200</v>
      </c>
      <c r="D17" s="109" t="s">
        <v>201</v>
      </c>
      <c r="E17" s="110">
        <f>F17+G17+H17+I17</f>
        <v>1052.6300000000001</v>
      </c>
      <c r="F17" s="110">
        <f>850+150</f>
        <v>1000</v>
      </c>
      <c r="G17" s="110">
        <v>0</v>
      </c>
      <c r="H17" s="110">
        <v>52.63</v>
      </c>
      <c r="I17" s="110">
        <v>0</v>
      </c>
      <c r="J17" s="111">
        <v>0</v>
      </c>
      <c r="K17" s="44"/>
      <c r="L17" s="44"/>
      <c r="M17" s="45">
        <v>1000</v>
      </c>
    </row>
    <row r="18" spans="1:15" ht="72.75" customHeight="1" thickBot="1" x14ac:dyDescent="0.3">
      <c r="A18" s="266"/>
      <c r="B18" s="107">
        <v>4</v>
      </c>
      <c r="C18" s="108" t="s">
        <v>200</v>
      </c>
      <c r="D18" s="109" t="s">
        <v>201</v>
      </c>
      <c r="E18" s="110">
        <f t="shared" ref="E18:E25" si="0">F18+G18+H18+I18</f>
        <v>7694.68</v>
      </c>
      <c r="F18" s="110">
        <f>6213.45+1096.5</f>
        <v>7309.95</v>
      </c>
      <c r="G18" s="110">
        <v>0</v>
      </c>
      <c r="H18" s="110">
        <v>384.73</v>
      </c>
      <c r="I18" s="110">
        <v>0</v>
      </c>
      <c r="J18" s="111">
        <v>0</v>
      </c>
      <c r="K18" s="44"/>
      <c r="L18" s="44"/>
      <c r="M18" s="45">
        <v>7309.95</v>
      </c>
    </row>
    <row r="19" spans="1:15" ht="54.75" customHeight="1" thickBot="1" x14ac:dyDescent="0.3">
      <c r="A19" s="266"/>
      <c r="B19" s="107">
        <v>4</v>
      </c>
      <c r="C19" s="108" t="s">
        <v>200</v>
      </c>
      <c r="D19" s="109" t="s">
        <v>201</v>
      </c>
      <c r="E19" s="110">
        <f t="shared" si="0"/>
        <v>4210.53</v>
      </c>
      <c r="F19" s="110">
        <f>3400+600</f>
        <v>4000</v>
      </c>
      <c r="G19" s="110">
        <v>0</v>
      </c>
      <c r="H19" s="110">
        <v>0</v>
      </c>
      <c r="I19" s="110">
        <v>210.53</v>
      </c>
      <c r="J19" s="111">
        <v>0</v>
      </c>
      <c r="K19" s="44"/>
      <c r="L19" s="44"/>
      <c r="M19" s="45">
        <v>4000</v>
      </c>
    </row>
    <row r="20" spans="1:15" ht="45.75" customHeight="1" thickBot="1" x14ac:dyDescent="0.3">
      <c r="A20" s="266"/>
      <c r="B20" s="107">
        <v>4</v>
      </c>
      <c r="C20" s="108" t="s">
        <v>200</v>
      </c>
      <c r="D20" s="109" t="s">
        <v>201</v>
      </c>
      <c r="E20" s="110">
        <f t="shared" si="0"/>
        <v>5263.13</v>
      </c>
      <c r="F20" s="110">
        <f>4250+750</f>
        <v>5000</v>
      </c>
      <c r="G20" s="110">
        <v>0</v>
      </c>
      <c r="H20" s="110">
        <v>236.82</v>
      </c>
      <c r="I20" s="110">
        <v>26.31</v>
      </c>
      <c r="J20" s="111">
        <v>0</v>
      </c>
      <c r="K20" s="44"/>
      <c r="L20" s="44"/>
      <c r="M20" s="45">
        <v>5000</v>
      </c>
    </row>
    <row r="21" spans="1:15" ht="72.75" customHeight="1" thickBot="1" x14ac:dyDescent="0.3">
      <c r="A21" s="267"/>
      <c r="B21" s="112">
        <v>4</v>
      </c>
      <c r="C21" s="113" t="s">
        <v>200</v>
      </c>
      <c r="D21" s="114" t="s">
        <v>201</v>
      </c>
      <c r="E21" s="115">
        <f t="shared" si="0"/>
        <v>2105.25</v>
      </c>
      <c r="F21" s="115">
        <f>1700+300</f>
        <v>2000</v>
      </c>
      <c r="G21" s="115">
        <v>0</v>
      </c>
      <c r="H21" s="115">
        <v>105.25</v>
      </c>
      <c r="I21" s="115">
        <v>0</v>
      </c>
      <c r="J21" s="116">
        <v>0</v>
      </c>
      <c r="K21" s="46"/>
      <c r="L21" s="46"/>
      <c r="M21" s="47">
        <v>2000</v>
      </c>
    </row>
    <row r="22" spans="1:15" ht="36" customHeight="1" thickBot="1" x14ac:dyDescent="0.3">
      <c r="A22" s="265" t="s">
        <v>27</v>
      </c>
      <c r="B22" s="102">
        <v>6</v>
      </c>
      <c r="C22" s="103" t="s">
        <v>202</v>
      </c>
      <c r="D22" s="104" t="s">
        <v>203</v>
      </c>
      <c r="E22" s="105">
        <f t="shared" si="0"/>
        <v>7440</v>
      </c>
      <c r="F22" s="105">
        <v>2790</v>
      </c>
      <c r="G22" s="105">
        <v>930</v>
      </c>
      <c r="H22" s="105">
        <v>0</v>
      </c>
      <c r="I22" s="105">
        <v>3720</v>
      </c>
      <c r="J22" s="106">
        <v>0</v>
      </c>
      <c r="K22" s="42"/>
      <c r="L22" s="42"/>
      <c r="M22" s="43">
        <v>3720</v>
      </c>
    </row>
    <row r="23" spans="1:15" ht="38.25" customHeight="1" thickBot="1" x14ac:dyDescent="0.3">
      <c r="A23" s="266"/>
      <c r="B23" s="107">
        <v>6</v>
      </c>
      <c r="C23" s="108" t="s">
        <v>202</v>
      </c>
      <c r="D23" s="109" t="s">
        <v>203</v>
      </c>
      <c r="E23" s="110">
        <f t="shared" si="0"/>
        <v>3125</v>
      </c>
      <c r="F23" s="110">
        <v>1875</v>
      </c>
      <c r="G23" s="110">
        <v>625</v>
      </c>
      <c r="H23" s="110">
        <v>0</v>
      </c>
      <c r="I23" s="110">
        <v>625</v>
      </c>
      <c r="J23" s="111">
        <v>0</v>
      </c>
      <c r="K23" s="44"/>
      <c r="L23" s="44"/>
      <c r="M23" s="45">
        <v>2500</v>
      </c>
    </row>
    <row r="24" spans="1:15" ht="63.75" customHeight="1" thickBot="1" x14ac:dyDescent="0.3">
      <c r="A24" s="266"/>
      <c r="B24" s="107">
        <v>6</v>
      </c>
      <c r="C24" s="108" t="s">
        <v>202</v>
      </c>
      <c r="D24" s="109" t="s">
        <v>203</v>
      </c>
      <c r="E24" s="110">
        <f t="shared" si="0"/>
        <v>44444.44</v>
      </c>
      <c r="F24" s="110">
        <v>15000</v>
      </c>
      <c r="G24" s="110">
        <v>5000</v>
      </c>
      <c r="H24" s="110">
        <v>0</v>
      </c>
      <c r="I24" s="110">
        <v>24444.44</v>
      </c>
      <c r="J24" s="111">
        <v>0</v>
      </c>
      <c r="K24" s="44"/>
      <c r="L24" s="44"/>
      <c r="M24" s="45">
        <v>20000</v>
      </c>
    </row>
    <row r="25" spans="1:15" ht="81.75" customHeight="1" thickBot="1" x14ac:dyDescent="0.3">
      <c r="A25" s="266"/>
      <c r="B25" s="107">
        <v>6</v>
      </c>
      <c r="C25" s="108" t="s">
        <v>202</v>
      </c>
      <c r="D25" s="109" t="s">
        <v>203</v>
      </c>
      <c r="E25" s="110">
        <f t="shared" si="0"/>
        <v>600</v>
      </c>
      <c r="F25" s="110">
        <v>225</v>
      </c>
      <c r="G25" s="110">
        <v>75</v>
      </c>
      <c r="H25" s="110">
        <v>0</v>
      </c>
      <c r="I25" s="110">
        <v>300</v>
      </c>
      <c r="J25" s="111">
        <v>0</v>
      </c>
      <c r="K25" s="44"/>
      <c r="L25" s="44"/>
      <c r="M25" s="45">
        <v>300</v>
      </c>
    </row>
    <row r="26" spans="1:15" ht="54.75" customHeight="1" thickBot="1" x14ac:dyDescent="0.3">
      <c r="A26" s="267"/>
      <c r="B26" s="112">
        <v>6</v>
      </c>
      <c r="C26" s="113" t="s">
        <v>202</v>
      </c>
      <c r="D26" s="114" t="s">
        <v>204</v>
      </c>
      <c r="E26" s="115">
        <f>F26+G26+H26+I26</f>
        <v>1581.28</v>
      </c>
      <c r="F26" s="115">
        <f>0.75*M26+0.01</f>
        <v>948.76</v>
      </c>
      <c r="G26" s="115">
        <f>0.25*M26+0.01</f>
        <v>316.26</v>
      </c>
      <c r="H26" s="115">
        <v>0</v>
      </c>
      <c r="I26" s="115">
        <f>316.25+0.01</f>
        <v>316.26</v>
      </c>
      <c r="J26" s="116">
        <v>0</v>
      </c>
      <c r="K26" s="125"/>
      <c r="L26" s="125"/>
      <c r="M26" s="126">
        <v>1265</v>
      </c>
      <c r="N26" s="76">
        <f>'f. Financování dle OP 2022'!M16+'f. Financování dle OP 2020'!M16+'f. Financování dle OP 2018'!M16</f>
        <v>1265</v>
      </c>
      <c r="O26" s="76"/>
    </row>
    <row r="27" spans="1:15" ht="63.75" customHeight="1" thickBot="1" x14ac:dyDescent="0.3">
      <c r="A27" s="265" t="s">
        <v>44</v>
      </c>
      <c r="B27" s="117">
        <v>2</v>
      </c>
      <c r="C27" s="118">
        <v>3</v>
      </c>
      <c r="D27" s="104" t="s">
        <v>205</v>
      </c>
      <c r="E27" s="105">
        <v>5220.8</v>
      </c>
      <c r="F27" s="105">
        <v>4437.6899999999996</v>
      </c>
      <c r="G27" s="105">
        <v>261.04000000000002</v>
      </c>
      <c r="H27" s="105">
        <v>130.51</v>
      </c>
      <c r="I27" s="105">
        <v>391.56</v>
      </c>
      <c r="J27" s="106">
        <v>0</v>
      </c>
      <c r="K27" s="297" t="s">
        <v>45</v>
      </c>
      <c r="L27" s="298"/>
      <c r="M27" s="127">
        <v>5220.8</v>
      </c>
      <c r="O27" s="76"/>
    </row>
    <row r="28" spans="1:15" ht="54.75" customHeight="1" thickBot="1" x14ac:dyDescent="0.3">
      <c r="A28" s="266"/>
      <c r="B28" s="119">
        <v>2</v>
      </c>
      <c r="C28" s="120">
        <v>3</v>
      </c>
      <c r="D28" s="109" t="s">
        <v>205</v>
      </c>
      <c r="E28" s="110">
        <v>1305.21</v>
      </c>
      <c r="F28" s="110">
        <v>1109.4100000000001</v>
      </c>
      <c r="G28" s="110">
        <v>163.16</v>
      </c>
      <c r="H28" s="110">
        <v>32.64</v>
      </c>
      <c r="I28" s="110">
        <v>0</v>
      </c>
      <c r="J28" s="111">
        <v>0</v>
      </c>
      <c r="K28" s="285" t="s">
        <v>46</v>
      </c>
      <c r="L28" s="286"/>
      <c r="M28" s="124">
        <v>1305.21</v>
      </c>
    </row>
    <row r="29" spans="1:15" ht="45.75" customHeight="1" thickBot="1" x14ac:dyDescent="0.3">
      <c r="A29" s="266"/>
      <c r="B29" s="119" t="s">
        <v>47</v>
      </c>
      <c r="C29" s="120">
        <v>3</v>
      </c>
      <c r="D29" s="109" t="s">
        <v>205</v>
      </c>
      <c r="E29" s="110">
        <v>1957.75</v>
      </c>
      <c r="F29" s="110">
        <v>1664.08</v>
      </c>
      <c r="G29" s="110">
        <v>97.89</v>
      </c>
      <c r="H29" s="110">
        <v>97.89</v>
      </c>
      <c r="I29" s="110">
        <v>97.89</v>
      </c>
      <c r="J29" s="111">
        <v>0</v>
      </c>
      <c r="K29" s="285" t="s">
        <v>49</v>
      </c>
      <c r="L29" s="286"/>
      <c r="M29" s="124">
        <f>1957.82-0.07</f>
        <v>1957.75</v>
      </c>
    </row>
    <row r="30" spans="1:15" ht="63.75" customHeight="1" thickBot="1" x14ac:dyDescent="0.3">
      <c r="A30" s="267"/>
      <c r="B30" s="121" t="s">
        <v>47</v>
      </c>
      <c r="C30" s="122">
        <v>3</v>
      </c>
      <c r="D30" s="114" t="s">
        <v>205</v>
      </c>
      <c r="E30" s="115">
        <v>4568.22</v>
      </c>
      <c r="F30" s="115">
        <v>3882.98</v>
      </c>
      <c r="G30" s="115">
        <v>0</v>
      </c>
      <c r="H30" s="115">
        <v>0</v>
      </c>
      <c r="I30" s="115">
        <v>685.24</v>
      </c>
      <c r="J30" s="116">
        <v>0</v>
      </c>
      <c r="K30" s="289" t="s">
        <v>50</v>
      </c>
      <c r="L30" s="290"/>
      <c r="M30" s="126">
        <v>4568.22</v>
      </c>
    </row>
    <row r="31" spans="1:15" ht="15.75" thickBot="1" x14ac:dyDescent="0.3">
      <c r="A31" s="263" t="s">
        <v>0</v>
      </c>
      <c r="B31" s="264"/>
      <c r="C31" s="264"/>
      <c r="D31" s="264"/>
      <c r="E31" s="23">
        <f t="shared" ref="E31:J31" si="1">SUM(E16:E30)</f>
        <v>111095.26000000001</v>
      </c>
      <c r="F31" s="23">
        <f t="shared" si="1"/>
        <v>70742.87</v>
      </c>
      <c r="G31" s="23">
        <f t="shared" si="1"/>
        <v>7468.35</v>
      </c>
      <c r="H31" s="23">
        <f t="shared" si="1"/>
        <v>2066.81</v>
      </c>
      <c r="I31" s="23">
        <f t="shared" si="1"/>
        <v>30817.23</v>
      </c>
      <c r="J31" s="23">
        <f t="shared" si="1"/>
        <v>0</v>
      </c>
      <c r="K31"/>
      <c r="L31"/>
      <c r="M31" s="40">
        <f>F31+G31</f>
        <v>78211.22</v>
      </c>
    </row>
    <row r="33" spans="1:13" x14ac:dyDescent="0.25">
      <c r="E33" s="76"/>
    </row>
    <row r="36" spans="1:13" ht="15.75" thickBot="1" x14ac:dyDescent="0.3">
      <c r="A36" s="283" t="s">
        <v>307</v>
      </c>
      <c r="B36" s="284"/>
      <c r="C36" s="284"/>
      <c r="D36" s="284"/>
      <c r="E36" s="284"/>
      <c r="F36" s="284"/>
      <c r="G36" s="284"/>
      <c r="H36" s="284"/>
      <c r="I36" s="284"/>
      <c r="J36" s="284"/>
      <c r="K36" s="284"/>
      <c r="L36" s="284"/>
      <c r="M36" s="284"/>
    </row>
    <row r="37" spans="1:13" ht="15.75" thickBot="1" x14ac:dyDescent="0.3">
      <c r="A37" s="268" t="s">
        <v>13</v>
      </c>
      <c r="B37" s="270" t="s">
        <v>12</v>
      </c>
      <c r="C37" s="270" t="s">
        <v>11</v>
      </c>
      <c r="D37" s="270" t="s">
        <v>10</v>
      </c>
      <c r="E37" s="274" t="s">
        <v>9</v>
      </c>
      <c r="F37" s="275"/>
      <c r="G37" s="275"/>
      <c r="H37" s="275"/>
      <c r="I37" s="276"/>
      <c r="J37" s="270" t="s">
        <v>8</v>
      </c>
    </row>
    <row r="38" spans="1:13" x14ac:dyDescent="0.25">
      <c r="A38" s="269"/>
      <c r="B38" s="271"/>
      <c r="C38" s="271"/>
      <c r="D38" s="271"/>
      <c r="E38" s="277" t="s">
        <v>7</v>
      </c>
      <c r="F38" s="279" t="s">
        <v>6</v>
      </c>
      <c r="G38" s="280"/>
      <c r="H38" s="279" t="s">
        <v>5</v>
      </c>
      <c r="I38" s="280"/>
      <c r="J38" s="271"/>
    </row>
    <row r="39" spans="1:13" ht="15.75" thickBot="1" x14ac:dyDescent="0.3">
      <c r="A39" s="269"/>
      <c r="B39" s="271"/>
      <c r="C39" s="271"/>
      <c r="D39" s="271"/>
      <c r="E39" s="278"/>
      <c r="F39" s="281"/>
      <c r="G39" s="282"/>
      <c r="H39" s="281"/>
      <c r="I39" s="282"/>
      <c r="J39" s="271"/>
    </row>
    <row r="40" spans="1:13" ht="45.75" thickBot="1" x14ac:dyDescent="0.3">
      <c r="A40" s="269"/>
      <c r="B40" s="271"/>
      <c r="C40" s="271"/>
      <c r="D40" s="271"/>
      <c r="E40" s="278"/>
      <c r="F40" s="25" t="s">
        <v>4</v>
      </c>
      <c r="G40" s="25" t="s">
        <v>3</v>
      </c>
      <c r="H40" s="25" t="s">
        <v>2</v>
      </c>
      <c r="I40" s="25" t="s">
        <v>1</v>
      </c>
      <c r="J40" s="271"/>
    </row>
    <row r="41" spans="1:13" ht="36.75" thickBot="1" x14ac:dyDescent="0.3">
      <c r="A41" s="175" t="s">
        <v>21</v>
      </c>
      <c r="B41" s="102">
        <v>4</v>
      </c>
      <c r="C41" s="103" t="s">
        <v>200</v>
      </c>
      <c r="D41" s="104" t="s">
        <v>201</v>
      </c>
      <c r="E41" s="105">
        <f>F41+G41+H41+I41</f>
        <v>40852.55999999999</v>
      </c>
      <c r="F41" s="105">
        <f>F16+F17+F18+F19+F20+F21</f>
        <v>38809.949999999997</v>
      </c>
      <c r="G41" s="105">
        <f>G16+G17+G18+G19+G20+G21</f>
        <v>0</v>
      </c>
      <c r="H41" s="105">
        <f>H16+H17+H18+H19+H20+H21</f>
        <v>1805.77</v>
      </c>
      <c r="I41" s="105">
        <f>I16+I17+I18+I19+I20+I21</f>
        <v>236.84</v>
      </c>
      <c r="J41" s="106">
        <f>J16+J17+J18+J19+J20+J21</f>
        <v>0</v>
      </c>
      <c r="K41" s="170"/>
      <c r="L41" s="171"/>
      <c r="M41" s="172"/>
    </row>
    <row r="42" spans="1:13" ht="27.75" thickBot="1" x14ac:dyDescent="0.3">
      <c r="A42" s="266" t="s">
        <v>27</v>
      </c>
      <c r="B42" s="107">
        <v>6</v>
      </c>
      <c r="C42" s="108" t="s">
        <v>202</v>
      </c>
      <c r="D42" s="109" t="s">
        <v>203</v>
      </c>
      <c r="E42" s="110">
        <f>F42+G42+H42+I42</f>
        <v>55609.440000000002</v>
      </c>
      <c r="F42" s="110">
        <f>F22+F23+F24+F25</f>
        <v>19890</v>
      </c>
      <c r="G42" s="110">
        <f>G22+G23+G24+G25</f>
        <v>6630</v>
      </c>
      <c r="H42" s="110">
        <f>H22+H23+H24+H25</f>
        <v>0</v>
      </c>
      <c r="I42" s="110">
        <f>I22+I23+I24+I25</f>
        <v>29089.439999999999</v>
      </c>
      <c r="J42" s="111">
        <f>J22+J23+J24+J25</f>
        <v>0</v>
      </c>
      <c r="K42" s="44"/>
      <c r="L42" s="44"/>
      <c r="M42" s="54"/>
    </row>
    <row r="43" spans="1:13" ht="18" x14ac:dyDescent="0.25">
      <c r="A43" s="266"/>
      <c r="B43" s="160">
        <v>6</v>
      </c>
      <c r="C43" s="162" t="s">
        <v>202</v>
      </c>
      <c r="D43" s="163" t="s">
        <v>204</v>
      </c>
      <c r="E43" s="164">
        <f>F43+G43+H43+I43</f>
        <v>1581.28</v>
      </c>
      <c r="F43" s="166">
        <f>F26</f>
        <v>948.76</v>
      </c>
      <c r="G43" s="166">
        <f>G26</f>
        <v>316.26</v>
      </c>
      <c r="H43" s="166">
        <f>H26</f>
        <v>0</v>
      </c>
      <c r="I43" s="166">
        <f>I26</f>
        <v>316.26</v>
      </c>
      <c r="J43" s="167">
        <f>J26</f>
        <v>0</v>
      </c>
      <c r="K43" s="44"/>
      <c r="L43" s="169"/>
      <c r="M43" s="54"/>
    </row>
    <row r="44" spans="1:13" ht="36.75" thickBot="1" x14ac:dyDescent="0.3">
      <c r="A44" s="159" t="s">
        <v>44</v>
      </c>
      <c r="B44" s="121" t="s">
        <v>47</v>
      </c>
      <c r="C44" s="161">
        <v>3</v>
      </c>
      <c r="D44" s="114" t="s">
        <v>205</v>
      </c>
      <c r="E44" s="165">
        <f>F44+G44+H44+I44</f>
        <v>13051.980000000001</v>
      </c>
      <c r="F44" s="115">
        <f>F27+F28+F29+F30</f>
        <v>11094.16</v>
      </c>
      <c r="G44" s="115">
        <f>G27+G28+G29+G30</f>
        <v>522.09</v>
      </c>
      <c r="H44" s="115">
        <f>H27+H28+H29+H30</f>
        <v>261.03999999999996</v>
      </c>
      <c r="I44" s="115">
        <f>I27+I28+I29+I30</f>
        <v>1174.69</v>
      </c>
      <c r="J44" s="116">
        <f>J27+J28+J29+J30</f>
        <v>0</v>
      </c>
      <c r="K44" s="168"/>
      <c r="L44" s="169"/>
      <c r="M44" s="174"/>
    </row>
    <row r="45" spans="1:13" ht="15.75" thickBot="1" x14ac:dyDescent="0.3">
      <c r="A45" s="263" t="s">
        <v>0</v>
      </c>
      <c r="B45" s="264"/>
      <c r="C45" s="264"/>
      <c r="D45" s="264"/>
      <c r="E45" s="23">
        <f t="shared" ref="E45:J45" si="2">SUM(E41:E44)</f>
        <v>111095.26</v>
      </c>
      <c r="F45" s="23">
        <f t="shared" si="2"/>
        <v>70742.87</v>
      </c>
      <c r="G45" s="23">
        <f t="shared" si="2"/>
        <v>7468.35</v>
      </c>
      <c r="H45" s="23">
        <f t="shared" si="2"/>
        <v>2066.81</v>
      </c>
      <c r="I45" s="23">
        <f t="shared" si="2"/>
        <v>30817.229999999996</v>
      </c>
      <c r="J45" s="23">
        <f t="shared" si="2"/>
        <v>0</v>
      </c>
      <c r="K45"/>
      <c r="L45"/>
      <c r="M45" s="21"/>
    </row>
  </sheetData>
  <mergeCells count="35">
    <mergeCell ref="A36:M36"/>
    <mergeCell ref="A37:A40"/>
    <mergeCell ref="E37:I37"/>
    <mergeCell ref="J37:J40"/>
    <mergeCell ref="E38:E40"/>
    <mergeCell ref="F38:G39"/>
    <mergeCell ref="H38:I39"/>
    <mergeCell ref="A42:A43"/>
    <mergeCell ref="A45:D45"/>
    <mergeCell ref="B37:B40"/>
    <mergeCell ref="C37:C40"/>
    <mergeCell ref="D37:D40"/>
    <mergeCell ref="N3:N5"/>
    <mergeCell ref="N7:N8"/>
    <mergeCell ref="L1:R1"/>
    <mergeCell ref="A16:A21"/>
    <mergeCell ref="A22:A26"/>
    <mergeCell ref="A27:A30"/>
    <mergeCell ref="A31:D31"/>
    <mergeCell ref="A11:J11"/>
    <mergeCell ref="A12:A15"/>
    <mergeCell ref="B12:B15"/>
    <mergeCell ref="C12:C15"/>
    <mergeCell ref="D12:D15"/>
    <mergeCell ref="E12:I12"/>
    <mergeCell ref="J12:J15"/>
    <mergeCell ref="E13:E15"/>
    <mergeCell ref="F13:G14"/>
    <mergeCell ref="H13:I14"/>
    <mergeCell ref="K27:L27"/>
    <mergeCell ref="K28:L28"/>
    <mergeCell ref="K29:L29"/>
    <mergeCell ref="K30:L30"/>
    <mergeCell ref="B2:L2"/>
    <mergeCell ref="B3:L3"/>
  </mergeCells>
  <pageMargins left="0.7" right="0.7" top="0.78740157499999996" bottom="0.78740157499999996" header="0.3" footer="0.3"/>
  <pageSetup paperSize="9" scale="64"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31"/>
  <sheetViews>
    <sheetView topLeftCell="A25" zoomScale="90" zoomScaleNormal="90" zoomScaleSheetLayoutView="100" workbookViewId="0">
      <selection activeCell="H26" sqref="H26:M29"/>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11.28515625" customWidth="1"/>
    <col min="15" max="15" width="13.7109375" customWidth="1"/>
    <col min="16" max="16" width="12" customWidth="1"/>
    <col min="17" max="17" width="15.85546875" customWidth="1"/>
    <col min="18" max="18" width="14.7109375" customWidth="1"/>
  </cols>
  <sheetData>
    <row r="1" spans="1:18" ht="16.5" thickBot="1" x14ac:dyDescent="0.3">
      <c r="A1" s="327" t="s">
        <v>306</v>
      </c>
      <c r="B1" s="328"/>
      <c r="C1" s="328"/>
      <c r="D1" s="328"/>
      <c r="E1" s="328"/>
      <c r="F1" s="328"/>
      <c r="G1" s="328"/>
      <c r="H1" s="328"/>
      <c r="I1" s="328"/>
      <c r="J1" s="328"/>
      <c r="K1" s="328"/>
      <c r="L1" s="328"/>
      <c r="M1" s="328"/>
      <c r="N1" s="329" t="s">
        <v>305</v>
      </c>
      <c r="O1" s="329"/>
      <c r="P1" s="329"/>
      <c r="Q1" s="329"/>
      <c r="R1" s="329"/>
    </row>
    <row r="2" spans="1:18" ht="36.75" thickBot="1" x14ac:dyDescent="0.3">
      <c r="A2" s="3"/>
      <c r="B2" s="4"/>
      <c r="C2" s="4"/>
      <c r="D2" s="5"/>
      <c r="E2" s="5"/>
      <c r="F2" s="5"/>
      <c r="G2" s="5"/>
      <c r="H2" s="5"/>
      <c r="I2" s="5"/>
      <c r="J2" s="5"/>
      <c r="K2" s="5"/>
      <c r="L2" s="5"/>
      <c r="M2" s="4"/>
      <c r="N2" s="6" t="s">
        <v>15</v>
      </c>
      <c r="O2" s="7" t="s">
        <v>16</v>
      </c>
      <c r="P2" s="7" t="s">
        <v>285</v>
      </c>
      <c r="Q2" s="7" t="s">
        <v>286</v>
      </c>
      <c r="R2" s="7" t="s">
        <v>287</v>
      </c>
    </row>
    <row r="3" spans="1:18" ht="16.5" thickTop="1" thickBot="1" x14ac:dyDescent="0.3">
      <c r="A3" s="3"/>
      <c r="B3" s="4"/>
      <c r="C3" s="4"/>
      <c r="D3" s="5"/>
      <c r="E3" s="5"/>
      <c r="F3" s="5"/>
      <c r="G3" s="5"/>
      <c r="H3" s="5"/>
      <c r="I3" s="5"/>
      <c r="J3" s="5"/>
      <c r="K3" s="5"/>
      <c r="L3" s="5"/>
      <c r="M3" s="4"/>
      <c r="N3" s="303" t="s">
        <v>20</v>
      </c>
      <c r="O3" s="8" t="s">
        <v>21</v>
      </c>
      <c r="P3" s="30">
        <f>I15+I16+I17+I18+I19+I20</f>
        <v>38809.949999999997</v>
      </c>
      <c r="Q3" s="30">
        <f>J15+J16+J17+J18+J19+J20</f>
        <v>0</v>
      </c>
      <c r="R3" s="31">
        <f>P3+Q3</f>
        <v>38809.949999999997</v>
      </c>
    </row>
    <row r="4" spans="1:18" ht="15.75" thickBot="1" x14ac:dyDescent="0.3">
      <c r="A4" s="3"/>
      <c r="B4" s="4"/>
      <c r="C4" s="4"/>
      <c r="D4" s="5"/>
      <c r="E4" s="5"/>
      <c r="F4" s="5"/>
      <c r="G4" s="5"/>
      <c r="H4" s="5"/>
      <c r="I4" s="5"/>
      <c r="J4" s="5"/>
      <c r="K4" s="5"/>
      <c r="L4" s="5"/>
      <c r="M4" s="4"/>
      <c r="N4" s="304"/>
      <c r="O4" s="10" t="s">
        <v>22</v>
      </c>
      <c r="P4" s="9"/>
      <c r="Q4" s="9"/>
      <c r="R4" s="11"/>
    </row>
    <row r="5" spans="1:18" ht="15.75" thickBot="1" x14ac:dyDescent="0.3">
      <c r="A5" s="3"/>
      <c r="B5" s="4"/>
      <c r="C5" s="4"/>
      <c r="D5" s="5"/>
      <c r="E5" s="5"/>
      <c r="F5" s="5"/>
      <c r="G5" s="5"/>
      <c r="H5" s="5"/>
      <c r="I5" s="5"/>
      <c r="J5" s="5"/>
      <c r="K5" s="5"/>
      <c r="L5" s="5"/>
      <c r="M5" s="4"/>
      <c r="N5" s="305"/>
      <c r="O5" s="12" t="s">
        <v>23</v>
      </c>
      <c r="P5" s="35">
        <f>P3+P4</f>
        <v>38809.949999999997</v>
      </c>
      <c r="Q5" s="35">
        <f>Q3+Q4</f>
        <v>0</v>
      </c>
      <c r="R5" s="36">
        <f>R3+R4</f>
        <v>38809.949999999997</v>
      </c>
    </row>
    <row r="6" spans="1:18" ht="15" customHeight="1" thickBot="1" x14ac:dyDescent="0.3">
      <c r="A6" s="3"/>
      <c r="B6" s="4"/>
      <c r="C6" s="4"/>
      <c r="D6" s="5"/>
      <c r="E6" s="5"/>
      <c r="F6" s="5"/>
      <c r="G6" s="5"/>
      <c r="H6" s="5"/>
      <c r="I6" s="5"/>
      <c r="J6" s="5"/>
      <c r="K6" s="5"/>
      <c r="L6" s="5"/>
      <c r="M6" s="4"/>
      <c r="N6" s="306" t="s">
        <v>24</v>
      </c>
      <c r="O6" s="10" t="s">
        <v>25</v>
      </c>
      <c r="P6" s="30">
        <f>I26+I27+I28+I29</f>
        <v>11094.16</v>
      </c>
      <c r="Q6" s="30">
        <f>J26+J27+J28+J29</f>
        <v>522.09</v>
      </c>
      <c r="R6" s="32">
        <f>P6+Q6</f>
        <v>11616.25</v>
      </c>
    </row>
    <row r="7" spans="1:18" ht="15.75" thickBot="1" x14ac:dyDescent="0.3">
      <c r="A7" s="3"/>
      <c r="B7" s="4"/>
      <c r="C7" s="4"/>
      <c r="D7" s="5"/>
      <c r="E7" s="5"/>
      <c r="F7" s="5"/>
      <c r="G7" s="5"/>
      <c r="H7" s="5"/>
      <c r="I7" s="5"/>
      <c r="J7" s="5"/>
      <c r="K7" s="5"/>
      <c r="L7" s="5"/>
      <c r="M7" s="4"/>
      <c r="N7" s="305"/>
      <c r="O7" s="129" t="s">
        <v>288</v>
      </c>
      <c r="P7" s="177">
        <f>P6</f>
        <v>11094.16</v>
      </c>
      <c r="Q7" s="177">
        <f>Q6</f>
        <v>522.09</v>
      </c>
      <c r="R7" s="178">
        <f>R6</f>
        <v>11616.25</v>
      </c>
    </row>
    <row r="8" spans="1:18" ht="15.75" thickBot="1" x14ac:dyDescent="0.3">
      <c r="A8" s="3"/>
      <c r="B8" s="4"/>
      <c r="C8" s="4"/>
      <c r="D8" s="5"/>
      <c r="E8" s="5"/>
      <c r="F8" s="5"/>
      <c r="G8" s="5"/>
      <c r="H8" s="5"/>
      <c r="I8" s="5"/>
      <c r="J8" s="5"/>
      <c r="K8" s="5"/>
      <c r="L8" s="5"/>
      <c r="M8" s="4"/>
      <c r="N8" s="306" t="s">
        <v>26</v>
      </c>
      <c r="O8" s="13" t="s">
        <v>27</v>
      </c>
      <c r="P8" s="33">
        <f>I21+I22+I23+I24+I25</f>
        <v>20838.759999999998</v>
      </c>
      <c r="Q8" s="33">
        <f>J21+J22+J23+J24+J25</f>
        <v>6946.26</v>
      </c>
      <c r="R8" s="34">
        <f>P8+Q8</f>
        <v>27785.019999999997</v>
      </c>
    </row>
    <row r="9" spans="1:18" ht="15.6" customHeight="1" thickBot="1" x14ac:dyDescent="0.3">
      <c r="A9" s="3"/>
      <c r="B9" s="4"/>
      <c r="C9" s="4"/>
      <c r="D9" s="5"/>
      <c r="E9" s="5"/>
      <c r="F9" s="5"/>
      <c r="G9" s="5"/>
      <c r="H9" s="5"/>
      <c r="I9" s="5"/>
      <c r="J9" s="5"/>
      <c r="K9" s="5"/>
      <c r="L9" s="5"/>
      <c r="M9" s="4"/>
      <c r="N9" s="307"/>
      <c r="O9" s="12" t="s">
        <v>28</v>
      </c>
      <c r="P9" s="177">
        <f>P8</f>
        <v>20838.759999999998</v>
      </c>
      <c r="Q9" s="177">
        <f>Q8</f>
        <v>6946.26</v>
      </c>
      <c r="R9" s="177">
        <f>R8</f>
        <v>27785.019999999997</v>
      </c>
    </row>
    <row r="10" spans="1:18" ht="16.5" thickTop="1" thickBot="1" x14ac:dyDescent="0.3">
      <c r="A10" s="330" t="s">
        <v>183</v>
      </c>
      <c r="B10" s="329"/>
      <c r="C10" s="329"/>
      <c r="D10" s="329"/>
      <c r="E10" s="329"/>
      <c r="F10" s="329"/>
      <c r="G10" s="329"/>
      <c r="H10" s="329"/>
      <c r="I10" s="329"/>
      <c r="J10" s="329"/>
      <c r="K10" s="329"/>
      <c r="L10" s="329"/>
      <c r="M10" s="329"/>
      <c r="N10" s="14" t="s">
        <v>29</v>
      </c>
      <c r="O10" s="15" t="s">
        <v>0</v>
      </c>
      <c r="P10" s="37">
        <f>P5+P7+P9</f>
        <v>70742.87</v>
      </c>
      <c r="Q10" s="37">
        <f>Q5+Q7+Q9</f>
        <v>7468.35</v>
      </c>
      <c r="R10" s="38">
        <f>R5+R7+R9</f>
        <v>78211.22</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39" customHeight="1" thickBot="1" x14ac:dyDescent="0.3">
      <c r="A15" s="65" t="s">
        <v>64</v>
      </c>
      <c r="B15" s="66" t="s">
        <v>63</v>
      </c>
      <c r="C15" s="66" t="s">
        <v>43</v>
      </c>
      <c r="D15" s="132" t="s">
        <v>21</v>
      </c>
      <c r="E15" s="102">
        <v>4</v>
      </c>
      <c r="F15" s="132" t="s">
        <v>200</v>
      </c>
      <c r="G15" s="133" t="s">
        <v>201</v>
      </c>
      <c r="H15" s="105">
        <f>I15+J15+K15+L15</f>
        <v>20526.34</v>
      </c>
      <c r="I15" s="105">
        <f>16575+2925</f>
        <v>19500</v>
      </c>
      <c r="J15" s="105">
        <v>0</v>
      </c>
      <c r="K15" s="105">
        <v>1026.3399999999999</v>
      </c>
      <c r="L15" s="105">
        <v>0</v>
      </c>
      <c r="M15" s="106">
        <v>0</v>
      </c>
      <c r="N15" s="42"/>
      <c r="O15" s="52">
        <v>19500</v>
      </c>
      <c r="P15" s="42"/>
      <c r="Q15" s="42"/>
      <c r="R15" s="53"/>
    </row>
    <row r="16" spans="1:18" ht="39" customHeight="1" thickBot="1" x14ac:dyDescent="0.3">
      <c r="A16" s="18" t="s">
        <v>84</v>
      </c>
      <c r="B16" s="19" t="s">
        <v>185</v>
      </c>
      <c r="C16" s="19" t="s">
        <v>43</v>
      </c>
      <c r="D16" s="134" t="s">
        <v>21</v>
      </c>
      <c r="E16" s="107">
        <v>4</v>
      </c>
      <c r="F16" s="134" t="s">
        <v>200</v>
      </c>
      <c r="G16" s="135" t="s">
        <v>201</v>
      </c>
      <c r="H16" s="110">
        <f>I16+J16+K16+L16</f>
        <v>1052.6300000000001</v>
      </c>
      <c r="I16" s="110">
        <f>850+150</f>
        <v>1000</v>
      </c>
      <c r="J16" s="110">
        <v>0</v>
      </c>
      <c r="K16" s="110">
        <v>52.63</v>
      </c>
      <c r="L16" s="110">
        <v>0</v>
      </c>
      <c r="M16" s="111">
        <v>0</v>
      </c>
      <c r="N16" s="44"/>
      <c r="O16" s="54">
        <v>1000</v>
      </c>
      <c r="P16" s="44"/>
      <c r="Q16" s="44"/>
      <c r="R16" s="55"/>
    </row>
    <row r="17" spans="1:19" ht="39" customHeight="1" thickBot="1" x14ac:dyDescent="0.3">
      <c r="A17" s="18" t="s">
        <v>91</v>
      </c>
      <c r="B17" s="19" t="s">
        <v>184</v>
      </c>
      <c r="C17" s="19" t="s">
        <v>43</v>
      </c>
      <c r="D17" s="134" t="s">
        <v>21</v>
      </c>
      <c r="E17" s="107">
        <v>4</v>
      </c>
      <c r="F17" s="134" t="s">
        <v>200</v>
      </c>
      <c r="G17" s="135" t="s">
        <v>201</v>
      </c>
      <c r="H17" s="110">
        <f t="shared" ref="H17:H25" si="0">I17+J17+K17+L17</f>
        <v>7694.68</v>
      </c>
      <c r="I17" s="110">
        <f>6213.45+1096.5</f>
        <v>7309.95</v>
      </c>
      <c r="J17" s="110">
        <v>0</v>
      </c>
      <c r="K17" s="110">
        <v>384.73</v>
      </c>
      <c r="L17" s="110">
        <v>0</v>
      </c>
      <c r="M17" s="111">
        <v>0</v>
      </c>
      <c r="N17" s="44"/>
      <c r="O17" s="54">
        <v>7309.95</v>
      </c>
      <c r="P17" s="44"/>
      <c r="Q17" s="44"/>
      <c r="R17" s="55"/>
    </row>
    <row r="18" spans="1:19" ht="51" customHeight="1" thickBot="1" x14ac:dyDescent="0.3">
      <c r="A18" s="18" t="s">
        <v>106</v>
      </c>
      <c r="B18" s="19" t="s">
        <v>186</v>
      </c>
      <c r="C18" s="19" t="s">
        <v>43</v>
      </c>
      <c r="D18" s="134" t="s">
        <v>21</v>
      </c>
      <c r="E18" s="107">
        <v>4</v>
      </c>
      <c r="F18" s="134" t="s">
        <v>200</v>
      </c>
      <c r="G18" s="135" t="s">
        <v>201</v>
      </c>
      <c r="H18" s="110">
        <f t="shared" si="0"/>
        <v>4210.53</v>
      </c>
      <c r="I18" s="110">
        <f>3400+600</f>
        <v>4000</v>
      </c>
      <c r="J18" s="110">
        <v>0</v>
      </c>
      <c r="K18" s="110">
        <v>0</v>
      </c>
      <c r="L18" s="110">
        <v>210.53</v>
      </c>
      <c r="M18" s="111">
        <v>0</v>
      </c>
      <c r="N18" s="44"/>
      <c r="O18" s="54">
        <v>4000</v>
      </c>
      <c r="P18" s="44"/>
      <c r="Q18" s="44"/>
      <c r="R18" s="55"/>
    </row>
    <row r="19" spans="1:19" ht="45.75" customHeight="1" thickBot="1" x14ac:dyDescent="0.3">
      <c r="A19" s="18" t="s">
        <v>124</v>
      </c>
      <c r="B19" s="19" t="s">
        <v>187</v>
      </c>
      <c r="C19" s="19" t="s">
        <v>43</v>
      </c>
      <c r="D19" s="134" t="s">
        <v>21</v>
      </c>
      <c r="E19" s="107">
        <v>4</v>
      </c>
      <c r="F19" s="134" t="s">
        <v>200</v>
      </c>
      <c r="G19" s="135" t="s">
        <v>201</v>
      </c>
      <c r="H19" s="110">
        <f t="shared" si="0"/>
        <v>5263.13</v>
      </c>
      <c r="I19" s="110">
        <f>4250+750</f>
        <v>5000</v>
      </c>
      <c r="J19" s="110">
        <v>0</v>
      </c>
      <c r="K19" s="110">
        <v>236.82</v>
      </c>
      <c r="L19" s="110">
        <v>26.31</v>
      </c>
      <c r="M19" s="111">
        <v>0</v>
      </c>
      <c r="N19" s="44"/>
      <c r="O19" s="54">
        <v>5000</v>
      </c>
      <c r="P19" s="44"/>
      <c r="Q19" s="44"/>
      <c r="R19" s="55"/>
    </row>
    <row r="20" spans="1:19" ht="39" customHeight="1" thickBot="1" x14ac:dyDescent="0.3">
      <c r="A20" s="26" t="s">
        <v>135</v>
      </c>
      <c r="B20" s="27" t="s">
        <v>188</v>
      </c>
      <c r="C20" s="27" t="s">
        <v>43</v>
      </c>
      <c r="D20" s="136" t="s">
        <v>21</v>
      </c>
      <c r="E20" s="137">
        <v>4</v>
      </c>
      <c r="F20" s="136" t="s">
        <v>200</v>
      </c>
      <c r="G20" s="138" t="s">
        <v>201</v>
      </c>
      <c r="H20" s="139">
        <f t="shared" si="0"/>
        <v>2105.25</v>
      </c>
      <c r="I20" s="139">
        <f>1700+300</f>
        <v>2000</v>
      </c>
      <c r="J20" s="139">
        <v>0</v>
      </c>
      <c r="K20" s="139">
        <v>105.25</v>
      </c>
      <c r="L20" s="139">
        <v>0</v>
      </c>
      <c r="M20" s="140">
        <v>0</v>
      </c>
      <c r="N20" s="46"/>
      <c r="O20" s="56">
        <v>2000</v>
      </c>
      <c r="P20" s="46"/>
      <c r="Q20" s="57"/>
      <c r="R20" s="58"/>
    </row>
    <row r="21" spans="1:19" ht="36" customHeight="1" thickBot="1" x14ac:dyDescent="0.3">
      <c r="A21" s="72" t="s">
        <v>143</v>
      </c>
      <c r="B21" s="66" t="s">
        <v>189</v>
      </c>
      <c r="C21" s="66" t="s">
        <v>43</v>
      </c>
      <c r="D21" s="132" t="s">
        <v>27</v>
      </c>
      <c r="E21" s="102">
        <v>6</v>
      </c>
      <c r="F21" s="132" t="s">
        <v>202</v>
      </c>
      <c r="G21" s="141" t="s">
        <v>203</v>
      </c>
      <c r="H21" s="105">
        <f t="shared" si="0"/>
        <v>7440</v>
      </c>
      <c r="I21" s="105">
        <v>2790</v>
      </c>
      <c r="J21" s="105">
        <v>930</v>
      </c>
      <c r="K21" s="105">
        <v>0</v>
      </c>
      <c r="L21" s="105">
        <v>3720</v>
      </c>
      <c r="M21" s="106">
        <v>0</v>
      </c>
      <c r="N21" s="42"/>
      <c r="O21" s="52">
        <v>3720</v>
      </c>
      <c r="P21" s="59">
        <v>50</v>
      </c>
      <c r="Q21" s="60"/>
      <c r="R21" s="53"/>
    </row>
    <row r="22" spans="1:19" ht="39" customHeight="1" thickBot="1" x14ac:dyDescent="0.3">
      <c r="A22" s="18" t="s">
        <v>143</v>
      </c>
      <c r="B22" s="19" t="s">
        <v>190</v>
      </c>
      <c r="C22" s="19" t="s">
        <v>43</v>
      </c>
      <c r="D22" s="134" t="s">
        <v>27</v>
      </c>
      <c r="E22" s="107">
        <v>6</v>
      </c>
      <c r="F22" s="134" t="s">
        <v>202</v>
      </c>
      <c r="G22" s="138" t="s">
        <v>203</v>
      </c>
      <c r="H22" s="110">
        <f t="shared" si="0"/>
        <v>3125</v>
      </c>
      <c r="I22" s="110">
        <v>1875</v>
      </c>
      <c r="J22" s="110">
        <v>625</v>
      </c>
      <c r="K22" s="110">
        <v>0</v>
      </c>
      <c r="L22" s="110">
        <v>625</v>
      </c>
      <c r="M22" s="111">
        <v>0</v>
      </c>
      <c r="N22" s="44"/>
      <c r="O22" s="54">
        <v>2500</v>
      </c>
      <c r="P22" s="61">
        <v>20</v>
      </c>
      <c r="Q22" s="62"/>
      <c r="R22" s="55"/>
    </row>
    <row r="23" spans="1:19" ht="39" customHeight="1" thickBot="1" x14ac:dyDescent="0.3">
      <c r="A23" s="18" t="s">
        <v>150</v>
      </c>
      <c r="B23" s="19" t="s">
        <v>191</v>
      </c>
      <c r="C23" s="19" t="s">
        <v>43</v>
      </c>
      <c r="D23" s="134" t="s">
        <v>27</v>
      </c>
      <c r="E23" s="107">
        <v>6</v>
      </c>
      <c r="F23" s="134" t="s">
        <v>202</v>
      </c>
      <c r="G23" s="138" t="s">
        <v>203</v>
      </c>
      <c r="H23" s="110">
        <f t="shared" si="0"/>
        <v>44444.44</v>
      </c>
      <c r="I23" s="110">
        <v>15000</v>
      </c>
      <c r="J23" s="110">
        <v>5000</v>
      </c>
      <c r="K23" s="110">
        <v>0</v>
      </c>
      <c r="L23" s="110">
        <v>24444.44</v>
      </c>
      <c r="M23" s="111">
        <v>0</v>
      </c>
      <c r="N23" s="44"/>
      <c r="O23" s="54">
        <v>20000</v>
      </c>
      <c r="P23" s="61">
        <v>55</v>
      </c>
      <c r="Q23" s="62"/>
      <c r="R23" s="55"/>
    </row>
    <row r="24" spans="1:19" ht="39" customHeight="1" thickBot="1" x14ac:dyDescent="0.3">
      <c r="A24" s="18" t="s">
        <v>143</v>
      </c>
      <c r="B24" s="19" t="s">
        <v>192</v>
      </c>
      <c r="C24" s="19" t="s">
        <v>43</v>
      </c>
      <c r="D24" s="134" t="s">
        <v>27</v>
      </c>
      <c r="E24" s="107">
        <v>6</v>
      </c>
      <c r="F24" s="134" t="s">
        <v>202</v>
      </c>
      <c r="G24" s="138" t="s">
        <v>203</v>
      </c>
      <c r="H24" s="110">
        <f t="shared" si="0"/>
        <v>600</v>
      </c>
      <c r="I24" s="110">
        <v>225</v>
      </c>
      <c r="J24" s="110">
        <v>75</v>
      </c>
      <c r="K24" s="110">
        <v>0</v>
      </c>
      <c r="L24" s="110">
        <v>300</v>
      </c>
      <c r="M24" s="111">
        <v>0</v>
      </c>
      <c r="N24" s="44"/>
      <c r="O24" s="54">
        <v>300</v>
      </c>
      <c r="P24" s="61">
        <v>50</v>
      </c>
      <c r="Q24" s="62"/>
      <c r="R24" s="55"/>
    </row>
    <row r="25" spans="1:19" ht="39" customHeight="1" thickBot="1" x14ac:dyDescent="0.3">
      <c r="A25" s="26" t="s">
        <v>153</v>
      </c>
      <c r="B25" s="27" t="s">
        <v>193</v>
      </c>
      <c r="C25" s="27" t="s">
        <v>43</v>
      </c>
      <c r="D25" s="136" t="s">
        <v>27</v>
      </c>
      <c r="E25" s="137">
        <v>6</v>
      </c>
      <c r="F25" s="136" t="s">
        <v>202</v>
      </c>
      <c r="G25" s="142" t="s">
        <v>204</v>
      </c>
      <c r="H25" s="139">
        <f t="shared" si="0"/>
        <v>1581.28</v>
      </c>
      <c r="I25" s="139">
        <f>0.75*O25+0.01</f>
        <v>948.76</v>
      </c>
      <c r="J25" s="139">
        <f>0.25*O25+0.01</f>
        <v>316.26</v>
      </c>
      <c r="K25" s="139">
        <v>0</v>
      </c>
      <c r="L25" s="139">
        <f>316.25+0.01</f>
        <v>316.26</v>
      </c>
      <c r="M25" s="140">
        <v>0</v>
      </c>
      <c r="N25" s="145"/>
      <c r="O25" s="146">
        <v>1265</v>
      </c>
      <c r="P25" s="63">
        <v>20</v>
      </c>
      <c r="Q25" s="64"/>
      <c r="R25" s="58"/>
      <c r="S25" s="41">
        <f>'e. a h. Financování CLLD 2018'!O25+'e. a h. Financování CLLD 2020'!O25+'e. a h. Financování CLLD 2022'!O25</f>
        <v>1265</v>
      </c>
    </row>
    <row r="26" spans="1:19" ht="48.75" customHeight="1" thickBot="1" x14ac:dyDescent="0.3">
      <c r="A26" s="65" t="s">
        <v>154</v>
      </c>
      <c r="B26" s="66" t="s">
        <v>194</v>
      </c>
      <c r="C26" s="66" t="s">
        <v>43</v>
      </c>
      <c r="D26" s="132" t="s">
        <v>44</v>
      </c>
      <c r="E26" s="117" t="s">
        <v>47</v>
      </c>
      <c r="F26" s="102">
        <v>3</v>
      </c>
      <c r="G26" s="141" t="s">
        <v>205</v>
      </c>
      <c r="H26" s="105">
        <v>5220.8</v>
      </c>
      <c r="I26" s="105">
        <v>4437.6899999999996</v>
      </c>
      <c r="J26" s="105">
        <v>261.04000000000002</v>
      </c>
      <c r="K26" s="105">
        <v>130.51</v>
      </c>
      <c r="L26" s="105">
        <v>391.56</v>
      </c>
      <c r="M26" s="106">
        <v>0</v>
      </c>
      <c r="N26" s="147"/>
      <c r="O26" s="148">
        <v>5220.8</v>
      </c>
      <c r="P26" s="59">
        <v>0</v>
      </c>
      <c r="Q26" s="68" t="s">
        <v>45</v>
      </c>
      <c r="R26" s="53"/>
    </row>
    <row r="27" spans="1:19" ht="84" customHeight="1" thickBot="1" x14ac:dyDescent="0.3">
      <c r="A27" s="18" t="s">
        <v>91</v>
      </c>
      <c r="B27" s="19" t="s">
        <v>195</v>
      </c>
      <c r="C27" s="19" t="s">
        <v>43</v>
      </c>
      <c r="D27" s="134" t="s">
        <v>44</v>
      </c>
      <c r="E27" s="119">
        <v>2</v>
      </c>
      <c r="F27" s="107">
        <v>3</v>
      </c>
      <c r="G27" s="138" t="s">
        <v>48</v>
      </c>
      <c r="H27" s="110">
        <v>1305.21</v>
      </c>
      <c r="I27" s="110">
        <v>1109.4100000000001</v>
      </c>
      <c r="J27" s="110">
        <v>163.16</v>
      </c>
      <c r="K27" s="110">
        <v>32.64</v>
      </c>
      <c r="L27" s="110">
        <f>((I27+J27)/(100-P27))*P27</f>
        <v>0</v>
      </c>
      <c r="M27" s="111">
        <v>0</v>
      </c>
      <c r="N27" s="149"/>
      <c r="O27" s="150">
        <v>1305.21</v>
      </c>
      <c r="P27" s="61">
        <v>0</v>
      </c>
      <c r="Q27" s="69" t="s">
        <v>199</v>
      </c>
      <c r="R27" s="55"/>
    </row>
    <row r="28" spans="1:19" ht="51" customHeight="1" thickBot="1" x14ac:dyDescent="0.3">
      <c r="A28" s="18" t="s">
        <v>154</v>
      </c>
      <c r="B28" s="19" t="s">
        <v>196</v>
      </c>
      <c r="C28" s="19" t="s">
        <v>43</v>
      </c>
      <c r="D28" s="134" t="s">
        <v>44</v>
      </c>
      <c r="E28" s="119" t="s">
        <v>47</v>
      </c>
      <c r="F28" s="107">
        <v>3</v>
      </c>
      <c r="G28" s="138" t="s">
        <v>48</v>
      </c>
      <c r="H28" s="110">
        <v>1957.75</v>
      </c>
      <c r="I28" s="110">
        <v>1664.08</v>
      </c>
      <c r="J28" s="110">
        <v>97.89</v>
      </c>
      <c r="K28" s="110">
        <v>97.89</v>
      </c>
      <c r="L28" s="110">
        <v>97.89</v>
      </c>
      <c r="M28" s="111">
        <v>0</v>
      </c>
      <c r="N28" s="149"/>
      <c r="O28" s="150">
        <v>1957.75</v>
      </c>
      <c r="P28" s="61">
        <v>0</v>
      </c>
      <c r="Q28" s="69" t="s">
        <v>49</v>
      </c>
      <c r="R28" s="55"/>
    </row>
    <row r="29" spans="1:19" ht="47.25" customHeight="1" thickBot="1" x14ac:dyDescent="0.3">
      <c r="A29" s="26" t="s">
        <v>172</v>
      </c>
      <c r="B29" s="27" t="s">
        <v>197</v>
      </c>
      <c r="C29" s="27" t="s">
        <v>43</v>
      </c>
      <c r="D29" s="143" t="s">
        <v>44</v>
      </c>
      <c r="E29" s="121" t="s">
        <v>47</v>
      </c>
      <c r="F29" s="112">
        <v>3</v>
      </c>
      <c r="G29" s="144" t="s">
        <v>48</v>
      </c>
      <c r="H29" s="115">
        <v>4568.22</v>
      </c>
      <c r="I29" s="115">
        <v>3882.98</v>
      </c>
      <c r="J29" s="115">
        <v>0</v>
      </c>
      <c r="K29" s="115">
        <v>0</v>
      </c>
      <c r="L29" s="115">
        <v>685.24</v>
      </c>
      <c r="M29" s="116">
        <v>0</v>
      </c>
      <c r="N29" s="154"/>
      <c r="O29" s="146">
        <v>4568.22</v>
      </c>
      <c r="P29" s="63">
        <v>15</v>
      </c>
      <c r="Q29" s="71" t="s">
        <v>50</v>
      </c>
      <c r="R29" s="58"/>
    </row>
    <row r="30" spans="1:19" ht="15.75" thickBot="1" x14ac:dyDescent="0.3">
      <c r="A30" s="309" t="s">
        <v>0</v>
      </c>
      <c r="B30" s="310"/>
      <c r="C30" s="310"/>
      <c r="D30" s="310"/>
      <c r="E30" s="310"/>
      <c r="F30" s="311"/>
      <c r="G30" s="22"/>
      <c r="H30" s="23">
        <f t="shared" ref="H30:M30" si="1">SUM(H15:H29)</f>
        <v>111095.26000000001</v>
      </c>
      <c r="I30" s="23">
        <f t="shared" si="1"/>
        <v>70742.87</v>
      </c>
      <c r="J30" s="23">
        <f t="shared" si="1"/>
        <v>7468.35</v>
      </c>
      <c r="K30" s="23">
        <f t="shared" si="1"/>
        <v>2066.81</v>
      </c>
      <c r="L30" s="23">
        <f t="shared" si="1"/>
        <v>30817.23</v>
      </c>
      <c r="M30" s="23">
        <f t="shared" si="1"/>
        <v>0</v>
      </c>
      <c r="O30" s="40">
        <f>I30+J30</f>
        <v>78211.22</v>
      </c>
      <c r="Q30" s="41"/>
    </row>
    <row r="31" spans="1:19"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6"/>
  <sheetViews>
    <sheetView topLeftCell="A67" zoomScale="60" zoomScaleNormal="60" workbookViewId="0">
      <selection activeCell="I69" sqref="I69"/>
    </sheetView>
  </sheetViews>
  <sheetFormatPr defaultColWidth="9.140625" defaultRowHeight="12.75" x14ac:dyDescent="0.2"/>
  <cols>
    <col min="1" max="1" width="20.7109375" style="80" customWidth="1"/>
    <col min="2" max="2" width="22.42578125" style="80" customWidth="1"/>
    <col min="3" max="3" width="9.85546875" style="77" customWidth="1"/>
    <col min="4" max="4" width="9.28515625" style="77" bestFit="1" customWidth="1"/>
    <col min="5" max="5" width="9.85546875" style="77" customWidth="1"/>
    <col min="6" max="6" width="30.28515625" style="77" customWidth="1"/>
    <col min="7" max="7" width="9.28515625" style="77" bestFit="1" customWidth="1"/>
    <col min="8" max="8" width="15" style="81" customWidth="1"/>
    <col min="9" max="9" width="9.85546875" style="77" customWidth="1"/>
    <col min="10" max="10" width="12.42578125" style="77" customWidth="1"/>
    <col min="11" max="11" width="10.5703125" style="77" bestFit="1" customWidth="1"/>
    <col min="12" max="12" width="10.85546875" style="77" bestFit="1" customWidth="1"/>
    <col min="13" max="13" width="10.5703125" style="77" bestFit="1" customWidth="1"/>
    <col min="14" max="14" width="10.85546875" style="77" bestFit="1" customWidth="1"/>
    <col min="15" max="15" width="9.42578125" style="77" bestFit="1" customWidth="1"/>
    <col min="16" max="16" width="100" style="77" customWidth="1"/>
    <col min="17" max="16384" width="9.140625" style="77"/>
  </cols>
  <sheetData>
    <row r="1" spans="1:16" ht="19.5" thickBot="1" x14ac:dyDescent="0.35">
      <c r="A1" s="338" t="s">
        <v>319</v>
      </c>
      <c r="B1" s="339"/>
      <c r="C1" s="339"/>
      <c r="D1" s="339"/>
      <c r="E1" s="339"/>
      <c r="F1" s="339"/>
      <c r="G1" s="339"/>
      <c r="H1" s="339"/>
      <c r="I1" s="339"/>
      <c r="J1" s="339"/>
      <c r="K1" s="339"/>
      <c r="L1" s="339"/>
      <c r="M1" s="339"/>
      <c r="N1" s="339"/>
      <c r="O1" s="339"/>
      <c r="P1" s="339"/>
    </row>
    <row r="2" spans="1:16" ht="24.75" customHeight="1" thickBot="1" x14ac:dyDescent="0.25">
      <c r="A2" s="340" t="s">
        <v>30</v>
      </c>
      <c r="B2" s="342" t="s">
        <v>31</v>
      </c>
      <c r="C2" s="344" t="s">
        <v>33</v>
      </c>
      <c r="D2" s="345"/>
      <c r="E2" s="345"/>
      <c r="F2" s="346"/>
      <c r="G2" s="344" t="s">
        <v>51</v>
      </c>
      <c r="H2" s="345"/>
      <c r="I2" s="345"/>
      <c r="J2" s="345"/>
      <c r="K2" s="347" t="s">
        <v>52</v>
      </c>
      <c r="L2" s="348"/>
      <c r="M2" s="348"/>
      <c r="N2" s="348"/>
      <c r="O2" s="349"/>
      <c r="P2" s="350" t="s">
        <v>53</v>
      </c>
    </row>
    <row r="3" spans="1:16" ht="55.5" customHeight="1" x14ac:dyDescent="0.2">
      <c r="A3" s="341"/>
      <c r="B3" s="343"/>
      <c r="C3" s="333" t="s">
        <v>16</v>
      </c>
      <c r="D3" s="78" t="s">
        <v>36</v>
      </c>
      <c r="E3" s="78" t="s">
        <v>37</v>
      </c>
      <c r="F3" s="333" t="s">
        <v>38</v>
      </c>
      <c r="G3" s="333" t="s">
        <v>54</v>
      </c>
      <c r="H3" s="352" t="s">
        <v>55</v>
      </c>
      <c r="I3" s="333" t="s">
        <v>56</v>
      </c>
      <c r="J3" s="333" t="s">
        <v>57</v>
      </c>
      <c r="K3" s="333" t="s">
        <v>58</v>
      </c>
      <c r="L3" s="333" t="s">
        <v>59</v>
      </c>
      <c r="M3" s="333" t="s">
        <v>60</v>
      </c>
      <c r="N3" s="333" t="s">
        <v>61</v>
      </c>
      <c r="O3" s="333" t="s">
        <v>273</v>
      </c>
      <c r="P3" s="351"/>
    </row>
    <row r="4" spans="1:16" ht="51.75" customHeight="1" x14ac:dyDescent="0.2">
      <c r="A4" s="341"/>
      <c r="B4" s="343"/>
      <c r="C4" s="334"/>
      <c r="D4" s="334" t="s">
        <v>39</v>
      </c>
      <c r="E4" s="334" t="s">
        <v>40</v>
      </c>
      <c r="F4" s="334"/>
      <c r="G4" s="334"/>
      <c r="H4" s="353"/>
      <c r="I4" s="334"/>
      <c r="J4" s="334"/>
      <c r="K4" s="334"/>
      <c r="L4" s="334"/>
      <c r="M4" s="334"/>
      <c r="N4" s="334"/>
      <c r="O4" s="334"/>
      <c r="P4" s="351"/>
    </row>
    <row r="5" spans="1:16" ht="18" customHeight="1" thickBot="1" x14ac:dyDescent="0.25">
      <c r="A5" s="341"/>
      <c r="B5" s="343"/>
      <c r="C5" s="334"/>
      <c r="D5" s="334"/>
      <c r="E5" s="334"/>
      <c r="F5" s="334"/>
      <c r="G5" s="334"/>
      <c r="H5" s="353"/>
      <c r="I5" s="334"/>
      <c r="J5" s="334"/>
      <c r="K5" s="334"/>
      <c r="L5" s="334"/>
      <c r="M5" s="334"/>
      <c r="N5" s="334"/>
      <c r="O5" s="334"/>
      <c r="P5" s="351"/>
    </row>
    <row r="6" spans="1:16" ht="234" customHeight="1" thickBot="1" x14ac:dyDescent="0.25">
      <c r="A6" s="82" t="s">
        <v>64</v>
      </c>
      <c r="B6" s="83" t="s">
        <v>63</v>
      </c>
      <c r="C6" s="210" t="s">
        <v>21</v>
      </c>
      <c r="D6" s="211" t="s">
        <v>206</v>
      </c>
      <c r="E6" s="210" t="s">
        <v>200</v>
      </c>
      <c r="F6" s="212" t="s">
        <v>207</v>
      </c>
      <c r="G6" s="210" t="s">
        <v>65</v>
      </c>
      <c r="H6" s="187" t="s">
        <v>66</v>
      </c>
      <c r="I6" s="210" t="s">
        <v>68</v>
      </c>
      <c r="J6" s="210" t="s">
        <v>67</v>
      </c>
      <c r="K6" s="210">
        <v>0</v>
      </c>
      <c r="L6" s="213">
        <v>42005</v>
      </c>
      <c r="M6" s="210">
        <v>1</v>
      </c>
      <c r="N6" s="213">
        <v>45291</v>
      </c>
      <c r="O6" s="210">
        <v>0</v>
      </c>
      <c r="P6" s="214" t="s">
        <v>329</v>
      </c>
    </row>
    <row r="7" spans="1:16" ht="249" customHeight="1" thickBot="1" x14ac:dyDescent="0.25">
      <c r="A7" s="84" t="s">
        <v>64</v>
      </c>
      <c r="B7" s="85" t="s">
        <v>63</v>
      </c>
      <c r="C7" s="188" t="s">
        <v>21</v>
      </c>
      <c r="D7" s="215" t="s">
        <v>206</v>
      </c>
      <c r="E7" s="188" t="s">
        <v>200</v>
      </c>
      <c r="F7" s="216" t="s">
        <v>207</v>
      </c>
      <c r="G7" s="188" t="s">
        <v>69</v>
      </c>
      <c r="H7" s="189" t="s">
        <v>70</v>
      </c>
      <c r="I7" s="188" t="s">
        <v>71</v>
      </c>
      <c r="J7" s="188" t="s">
        <v>67</v>
      </c>
      <c r="K7" s="188">
        <v>0</v>
      </c>
      <c r="L7" s="190">
        <v>42005</v>
      </c>
      <c r="M7" s="188">
        <v>1</v>
      </c>
      <c r="N7" s="190">
        <v>45291</v>
      </c>
      <c r="O7" s="188" t="s">
        <v>322</v>
      </c>
      <c r="P7" s="209" t="s">
        <v>330</v>
      </c>
    </row>
    <row r="8" spans="1:16" ht="219.75" customHeight="1" thickBot="1" x14ac:dyDescent="0.25">
      <c r="A8" s="84" t="s">
        <v>64</v>
      </c>
      <c r="B8" s="85" t="s">
        <v>63</v>
      </c>
      <c r="C8" s="188" t="s">
        <v>21</v>
      </c>
      <c r="D8" s="215" t="s">
        <v>206</v>
      </c>
      <c r="E8" s="188" t="s">
        <v>200</v>
      </c>
      <c r="F8" s="216" t="s">
        <v>207</v>
      </c>
      <c r="G8" s="188" t="s">
        <v>72</v>
      </c>
      <c r="H8" s="189" t="s">
        <v>73</v>
      </c>
      <c r="I8" s="188" t="s">
        <v>74</v>
      </c>
      <c r="J8" s="188" t="s">
        <v>67</v>
      </c>
      <c r="K8" s="188">
        <v>0</v>
      </c>
      <c r="L8" s="190">
        <v>42005</v>
      </c>
      <c r="M8" s="188">
        <v>2</v>
      </c>
      <c r="N8" s="190">
        <v>45291</v>
      </c>
      <c r="O8" s="188" t="s">
        <v>322</v>
      </c>
      <c r="P8" s="209" t="s">
        <v>323</v>
      </c>
    </row>
    <row r="9" spans="1:16" ht="219" customHeight="1" thickBot="1" x14ac:dyDescent="0.25">
      <c r="A9" s="84" t="s">
        <v>64</v>
      </c>
      <c r="B9" s="85" t="s">
        <v>63</v>
      </c>
      <c r="C9" s="188" t="s">
        <v>21</v>
      </c>
      <c r="D9" s="215" t="s">
        <v>206</v>
      </c>
      <c r="E9" s="188" t="s">
        <v>200</v>
      </c>
      <c r="F9" s="216" t="s">
        <v>207</v>
      </c>
      <c r="G9" s="188" t="s">
        <v>75</v>
      </c>
      <c r="H9" s="189" t="s">
        <v>76</v>
      </c>
      <c r="I9" s="188" t="s">
        <v>77</v>
      </c>
      <c r="J9" s="188" t="s">
        <v>67</v>
      </c>
      <c r="K9" s="188">
        <v>0</v>
      </c>
      <c r="L9" s="190">
        <v>42005</v>
      </c>
      <c r="M9" s="188">
        <v>15</v>
      </c>
      <c r="N9" s="190">
        <v>45291</v>
      </c>
      <c r="O9" s="188" t="s">
        <v>322</v>
      </c>
      <c r="P9" s="209" t="s">
        <v>327</v>
      </c>
    </row>
    <row r="10" spans="1:16" ht="78" customHeight="1" thickBot="1" x14ac:dyDescent="0.25">
      <c r="A10" s="84" t="s">
        <v>64</v>
      </c>
      <c r="B10" s="85" t="s">
        <v>63</v>
      </c>
      <c r="C10" s="188" t="s">
        <v>21</v>
      </c>
      <c r="D10" s="215" t="s">
        <v>206</v>
      </c>
      <c r="E10" s="188" t="s">
        <v>200</v>
      </c>
      <c r="F10" s="216" t="s">
        <v>207</v>
      </c>
      <c r="G10" s="188" t="s">
        <v>79</v>
      </c>
      <c r="H10" s="189" t="s">
        <v>78</v>
      </c>
      <c r="I10" s="188" t="s">
        <v>80</v>
      </c>
      <c r="J10" s="188" t="s">
        <v>81</v>
      </c>
      <c r="K10" s="188">
        <v>7</v>
      </c>
      <c r="L10" s="190">
        <v>40908</v>
      </c>
      <c r="M10" s="188">
        <v>10</v>
      </c>
      <c r="N10" s="190">
        <v>45291</v>
      </c>
      <c r="O10" s="188" t="s">
        <v>322</v>
      </c>
      <c r="P10" s="217" t="s">
        <v>208</v>
      </c>
    </row>
    <row r="11" spans="1:16" ht="83.25" customHeight="1" thickBot="1" x14ac:dyDescent="0.25">
      <c r="A11" s="86" t="s">
        <v>64</v>
      </c>
      <c r="B11" s="87" t="s">
        <v>63</v>
      </c>
      <c r="C11" s="218" t="s">
        <v>21</v>
      </c>
      <c r="D11" s="219" t="s">
        <v>206</v>
      </c>
      <c r="E11" s="218" t="s">
        <v>200</v>
      </c>
      <c r="F11" s="220" t="s">
        <v>207</v>
      </c>
      <c r="G11" s="218" t="s">
        <v>83</v>
      </c>
      <c r="H11" s="221" t="s">
        <v>82</v>
      </c>
      <c r="I11" s="218" t="s">
        <v>80</v>
      </c>
      <c r="J11" s="218" t="s">
        <v>81</v>
      </c>
      <c r="K11" s="218">
        <v>30</v>
      </c>
      <c r="L11" s="222">
        <v>40908</v>
      </c>
      <c r="M11" s="218">
        <v>35</v>
      </c>
      <c r="N11" s="222">
        <v>45291</v>
      </c>
      <c r="O11" s="218" t="s">
        <v>322</v>
      </c>
      <c r="P11" s="223" t="s">
        <v>208</v>
      </c>
    </row>
    <row r="12" spans="1:16" ht="210.75" customHeight="1" thickBot="1" x14ac:dyDescent="0.25">
      <c r="A12" s="82" t="s">
        <v>84</v>
      </c>
      <c r="B12" s="83" t="s">
        <v>185</v>
      </c>
      <c r="C12" s="210" t="s">
        <v>21</v>
      </c>
      <c r="D12" s="211" t="s">
        <v>206</v>
      </c>
      <c r="E12" s="210" t="s">
        <v>200</v>
      </c>
      <c r="F12" s="212" t="s">
        <v>207</v>
      </c>
      <c r="G12" s="210" t="s">
        <v>85</v>
      </c>
      <c r="H12" s="187" t="s">
        <v>86</v>
      </c>
      <c r="I12" s="210" t="s">
        <v>89</v>
      </c>
      <c r="J12" s="210" t="s">
        <v>67</v>
      </c>
      <c r="K12" s="210">
        <v>0</v>
      </c>
      <c r="L12" s="213">
        <v>42005</v>
      </c>
      <c r="M12" s="210">
        <v>1</v>
      </c>
      <c r="N12" s="213">
        <v>45291</v>
      </c>
      <c r="O12" s="210" t="s">
        <v>322</v>
      </c>
      <c r="P12" s="214" t="s">
        <v>324</v>
      </c>
    </row>
    <row r="13" spans="1:16" ht="94.5" customHeight="1" thickBot="1" x14ac:dyDescent="0.25">
      <c r="A13" s="88" t="s">
        <v>84</v>
      </c>
      <c r="B13" s="89" t="s">
        <v>185</v>
      </c>
      <c r="C13" s="218" t="s">
        <v>21</v>
      </c>
      <c r="D13" s="219" t="s">
        <v>206</v>
      </c>
      <c r="E13" s="218" t="s">
        <v>200</v>
      </c>
      <c r="F13" s="220" t="s">
        <v>207</v>
      </c>
      <c r="G13" s="218" t="s">
        <v>87</v>
      </c>
      <c r="H13" s="221" t="s">
        <v>88</v>
      </c>
      <c r="I13" s="218" t="s">
        <v>90</v>
      </c>
      <c r="J13" s="218" t="s">
        <v>81</v>
      </c>
      <c r="K13" s="218">
        <v>108</v>
      </c>
      <c r="L13" s="222">
        <v>42004</v>
      </c>
      <c r="M13" s="218">
        <v>48</v>
      </c>
      <c r="N13" s="222">
        <v>45291</v>
      </c>
      <c r="O13" s="218" t="s">
        <v>322</v>
      </c>
      <c r="P13" s="224" t="s">
        <v>208</v>
      </c>
    </row>
    <row r="14" spans="1:16" ht="355.5" customHeight="1" thickBot="1" x14ac:dyDescent="0.25">
      <c r="A14" s="90" t="s">
        <v>91</v>
      </c>
      <c r="B14" s="91" t="s">
        <v>184</v>
      </c>
      <c r="C14" s="210" t="s">
        <v>21</v>
      </c>
      <c r="D14" s="211" t="s">
        <v>206</v>
      </c>
      <c r="E14" s="210" t="s">
        <v>200</v>
      </c>
      <c r="F14" s="212" t="s">
        <v>207</v>
      </c>
      <c r="G14" s="210" t="s">
        <v>93</v>
      </c>
      <c r="H14" s="187" t="s">
        <v>92</v>
      </c>
      <c r="I14" s="210" t="s">
        <v>94</v>
      </c>
      <c r="J14" s="210" t="s">
        <v>67</v>
      </c>
      <c r="K14" s="210">
        <v>0</v>
      </c>
      <c r="L14" s="213">
        <v>42005</v>
      </c>
      <c r="M14" s="210">
        <v>2</v>
      </c>
      <c r="N14" s="213">
        <v>45291</v>
      </c>
      <c r="O14" s="210" t="s">
        <v>322</v>
      </c>
      <c r="P14" s="214" t="s">
        <v>334</v>
      </c>
    </row>
    <row r="15" spans="1:16" ht="390.75" thickBot="1" x14ac:dyDescent="0.25">
      <c r="A15" s="90" t="s">
        <v>91</v>
      </c>
      <c r="B15" s="91" t="s">
        <v>184</v>
      </c>
      <c r="C15" s="188" t="s">
        <v>21</v>
      </c>
      <c r="D15" s="215" t="s">
        <v>206</v>
      </c>
      <c r="E15" s="188" t="s">
        <v>200</v>
      </c>
      <c r="F15" s="216" t="s">
        <v>207</v>
      </c>
      <c r="G15" s="188" t="s">
        <v>95</v>
      </c>
      <c r="H15" s="189" t="s">
        <v>96</v>
      </c>
      <c r="I15" s="188" t="s">
        <v>97</v>
      </c>
      <c r="J15" s="188" t="s">
        <v>67</v>
      </c>
      <c r="K15" s="188">
        <v>0</v>
      </c>
      <c r="L15" s="190">
        <v>42005</v>
      </c>
      <c r="M15" s="188">
        <v>7</v>
      </c>
      <c r="N15" s="190">
        <v>45291</v>
      </c>
      <c r="O15" s="188">
        <v>0</v>
      </c>
      <c r="P15" s="209" t="s">
        <v>278</v>
      </c>
    </row>
    <row r="16" spans="1:16" ht="229.5" customHeight="1" thickBot="1" x14ac:dyDescent="0.25">
      <c r="A16" s="90" t="s">
        <v>91</v>
      </c>
      <c r="B16" s="91" t="s">
        <v>184</v>
      </c>
      <c r="C16" s="188" t="s">
        <v>21</v>
      </c>
      <c r="D16" s="215" t="s">
        <v>206</v>
      </c>
      <c r="E16" s="188" t="s">
        <v>200</v>
      </c>
      <c r="F16" s="216" t="s">
        <v>207</v>
      </c>
      <c r="G16" s="188" t="s">
        <v>98</v>
      </c>
      <c r="H16" s="189" t="s">
        <v>99</v>
      </c>
      <c r="I16" s="188" t="s">
        <v>100</v>
      </c>
      <c r="J16" s="188" t="s">
        <v>81</v>
      </c>
      <c r="K16" s="188">
        <v>25</v>
      </c>
      <c r="L16" s="190">
        <v>42005</v>
      </c>
      <c r="M16" s="188">
        <v>40</v>
      </c>
      <c r="N16" s="190">
        <v>45291</v>
      </c>
      <c r="O16" s="188" t="s">
        <v>322</v>
      </c>
      <c r="P16" s="209" t="s">
        <v>209</v>
      </c>
    </row>
    <row r="17" spans="1:17" ht="63.75" customHeight="1" thickBot="1" x14ac:dyDescent="0.25">
      <c r="A17" s="90" t="s">
        <v>91</v>
      </c>
      <c r="B17" s="91" t="s">
        <v>184</v>
      </c>
      <c r="C17" s="188" t="s">
        <v>21</v>
      </c>
      <c r="D17" s="215" t="s">
        <v>206</v>
      </c>
      <c r="E17" s="188" t="s">
        <v>200</v>
      </c>
      <c r="F17" s="216" t="s">
        <v>207</v>
      </c>
      <c r="G17" s="188" t="s">
        <v>210</v>
      </c>
      <c r="H17" s="189" t="s">
        <v>211</v>
      </c>
      <c r="I17" s="188" t="s">
        <v>212</v>
      </c>
      <c r="J17" s="188" t="s">
        <v>67</v>
      </c>
      <c r="K17" s="188">
        <v>0</v>
      </c>
      <c r="L17" s="190">
        <v>42005</v>
      </c>
      <c r="M17" s="188">
        <v>2</v>
      </c>
      <c r="N17" s="190">
        <v>45291</v>
      </c>
      <c r="O17" s="188" t="s">
        <v>322</v>
      </c>
      <c r="P17" s="209" t="s">
        <v>213</v>
      </c>
    </row>
    <row r="18" spans="1:17" ht="162" customHeight="1" thickBot="1" x14ac:dyDescent="0.25">
      <c r="A18" s="90" t="s">
        <v>91</v>
      </c>
      <c r="B18" s="91" t="s">
        <v>184</v>
      </c>
      <c r="C18" s="188" t="s">
        <v>21</v>
      </c>
      <c r="D18" s="215" t="s">
        <v>206</v>
      </c>
      <c r="E18" s="188" t="s">
        <v>200</v>
      </c>
      <c r="F18" s="216" t="s">
        <v>207</v>
      </c>
      <c r="G18" s="188" t="s">
        <v>101</v>
      </c>
      <c r="H18" s="189" t="s">
        <v>102</v>
      </c>
      <c r="I18" s="188" t="s">
        <v>105</v>
      </c>
      <c r="J18" s="188" t="s">
        <v>81</v>
      </c>
      <c r="K18" s="188">
        <v>0</v>
      </c>
      <c r="L18" s="190">
        <v>42005</v>
      </c>
      <c r="M18" s="188">
        <v>5.6</v>
      </c>
      <c r="N18" s="190">
        <v>45291</v>
      </c>
      <c r="O18" s="188" t="s">
        <v>322</v>
      </c>
      <c r="P18" s="209" t="s">
        <v>320</v>
      </c>
    </row>
    <row r="19" spans="1:17" ht="149.25" customHeight="1" thickBot="1" x14ac:dyDescent="0.25">
      <c r="A19" s="92" t="s">
        <v>91</v>
      </c>
      <c r="B19" s="93" t="s">
        <v>184</v>
      </c>
      <c r="C19" s="218" t="s">
        <v>21</v>
      </c>
      <c r="D19" s="219" t="s">
        <v>206</v>
      </c>
      <c r="E19" s="218" t="s">
        <v>200</v>
      </c>
      <c r="F19" s="220" t="s">
        <v>207</v>
      </c>
      <c r="G19" s="218" t="s">
        <v>104</v>
      </c>
      <c r="H19" s="221" t="s">
        <v>103</v>
      </c>
      <c r="I19" s="218" t="s">
        <v>214</v>
      </c>
      <c r="J19" s="218" t="s">
        <v>81</v>
      </c>
      <c r="K19" s="218">
        <v>0</v>
      </c>
      <c r="L19" s="222">
        <v>42005</v>
      </c>
      <c r="M19" s="218">
        <v>7</v>
      </c>
      <c r="N19" s="222">
        <v>45291</v>
      </c>
      <c r="O19" s="218" t="s">
        <v>322</v>
      </c>
      <c r="P19" s="225" t="s">
        <v>279</v>
      </c>
    </row>
    <row r="20" spans="1:17" ht="303" customHeight="1" thickBot="1" x14ac:dyDescent="0.25">
      <c r="A20" s="90" t="s">
        <v>106</v>
      </c>
      <c r="B20" s="91" t="s">
        <v>186</v>
      </c>
      <c r="C20" s="210" t="s">
        <v>21</v>
      </c>
      <c r="D20" s="211" t="s">
        <v>206</v>
      </c>
      <c r="E20" s="210" t="s">
        <v>200</v>
      </c>
      <c r="F20" s="212" t="s">
        <v>207</v>
      </c>
      <c r="G20" s="210" t="s">
        <v>108</v>
      </c>
      <c r="H20" s="187" t="s">
        <v>107</v>
      </c>
      <c r="I20" s="210" t="s">
        <v>109</v>
      </c>
      <c r="J20" s="210" t="s">
        <v>110</v>
      </c>
      <c r="K20" s="210">
        <v>0</v>
      </c>
      <c r="L20" s="213">
        <v>42005</v>
      </c>
      <c r="M20" s="210">
        <v>2</v>
      </c>
      <c r="N20" s="213">
        <v>45291</v>
      </c>
      <c r="O20" s="210">
        <v>0</v>
      </c>
      <c r="P20" s="214" t="s">
        <v>331</v>
      </c>
    </row>
    <row r="21" spans="1:17" ht="300.75" customHeight="1" thickBot="1" x14ac:dyDescent="0.25">
      <c r="A21" s="94" t="s">
        <v>106</v>
      </c>
      <c r="B21" s="95" t="s">
        <v>186</v>
      </c>
      <c r="C21" s="188" t="s">
        <v>21</v>
      </c>
      <c r="D21" s="215" t="s">
        <v>206</v>
      </c>
      <c r="E21" s="188" t="s">
        <v>200</v>
      </c>
      <c r="F21" s="216" t="s">
        <v>207</v>
      </c>
      <c r="G21" s="188" t="s">
        <v>111</v>
      </c>
      <c r="H21" s="189" t="s">
        <v>112</v>
      </c>
      <c r="I21" s="188" t="s">
        <v>109</v>
      </c>
      <c r="J21" s="188" t="s">
        <v>110</v>
      </c>
      <c r="K21" s="188">
        <v>0</v>
      </c>
      <c r="L21" s="190">
        <v>42005</v>
      </c>
      <c r="M21" s="188">
        <v>5</v>
      </c>
      <c r="N21" s="190">
        <v>45291</v>
      </c>
      <c r="O21" s="188">
        <v>0</v>
      </c>
      <c r="P21" s="209" t="s">
        <v>332</v>
      </c>
    </row>
    <row r="22" spans="1:17" ht="198" customHeight="1" thickBot="1" x14ac:dyDescent="0.25">
      <c r="A22" s="94" t="s">
        <v>106</v>
      </c>
      <c r="B22" s="95" t="s">
        <v>186</v>
      </c>
      <c r="C22" s="188" t="s">
        <v>21</v>
      </c>
      <c r="D22" s="215" t="s">
        <v>206</v>
      </c>
      <c r="E22" s="188" t="s">
        <v>200</v>
      </c>
      <c r="F22" s="216" t="s">
        <v>207</v>
      </c>
      <c r="G22" s="188" t="s">
        <v>114</v>
      </c>
      <c r="H22" s="189" t="s">
        <v>113</v>
      </c>
      <c r="I22" s="188" t="s">
        <v>115</v>
      </c>
      <c r="J22" s="188" t="s">
        <v>110</v>
      </c>
      <c r="K22" s="188">
        <v>0</v>
      </c>
      <c r="L22" s="190">
        <v>42005</v>
      </c>
      <c r="M22" s="188">
        <v>1</v>
      </c>
      <c r="N22" s="190">
        <v>45291</v>
      </c>
      <c r="O22" s="188">
        <v>0</v>
      </c>
      <c r="P22" s="209" t="s">
        <v>215</v>
      </c>
    </row>
    <row r="23" spans="1:17" ht="131.25" customHeight="1" thickBot="1" x14ac:dyDescent="0.25">
      <c r="A23" s="94" t="s">
        <v>106</v>
      </c>
      <c r="B23" s="95" t="s">
        <v>186</v>
      </c>
      <c r="C23" s="188" t="s">
        <v>21</v>
      </c>
      <c r="D23" s="215" t="s">
        <v>206</v>
      </c>
      <c r="E23" s="188" t="s">
        <v>200</v>
      </c>
      <c r="F23" s="216" t="s">
        <v>207</v>
      </c>
      <c r="G23" s="226" t="s">
        <v>216</v>
      </c>
      <c r="H23" s="227" t="s">
        <v>217</v>
      </c>
      <c r="I23" s="226" t="s">
        <v>115</v>
      </c>
      <c r="J23" s="226" t="s">
        <v>67</v>
      </c>
      <c r="K23" s="226">
        <v>0</v>
      </c>
      <c r="L23" s="190">
        <v>42005</v>
      </c>
      <c r="M23" s="226">
        <v>1</v>
      </c>
      <c r="N23" s="228">
        <v>45291</v>
      </c>
      <c r="O23" s="226" t="s">
        <v>322</v>
      </c>
      <c r="P23" s="209" t="s">
        <v>321</v>
      </c>
    </row>
    <row r="24" spans="1:17" ht="131.25" customHeight="1" thickBot="1" x14ac:dyDescent="0.25">
      <c r="A24" s="94" t="s">
        <v>106</v>
      </c>
      <c r="B24" s="95" t="s">
        <v>186</v>
      </c>
      <c r="C24" s="188" t="s">
        <v>21</v>
      </c>
      <c r="D24" s="215" t="s">
        <v>206</v>
      </c>
      <c r="E24" s="188" t="s">
        <v>200</v>
      </c>
      <c r="F24" s="216" t="s">
        <v>207</v>
      </c>
      <c r="G24" s="188" t="s">
        <v>116</v>
      </c>
      <c r="H24" s="189" t="s">
        <v>117</v>
      </c>
      <c r="I24" s="188" t="s">
        <v>115</v>
      </c>
      <c r="J24" s="188" t="s">
        <v>110</v>
      </c>
      <c r="K24" s="188">
        <v>0</v>
      </c>
      <c r="L24" s="190">
        <v>42005</v>
      </c>
      <c r="M24" s="188">
        <v>1</v>
      </c>
      <c r="N24" s="190">
        <v>45291</v>
      </c>
      <c r="O24" s="188" t="s">
        <v>322</v>
      </c>
      <c r="P24" s="209" t="s">
        <v>321</v>
      </c>
    </row>
    <row r="25" spans="1:17" ht="102.75" customHeight="1" thickBot="1" x14ac:dyDescent="0.25">
      <c r="A25" s="94" t="s">
        <v>106</v>
      </c>
      <c r="B25" s="95" t="s">
        <v>186</v>
      </c>
      <c r="C25" s="188" t="s">
        <v>21</v>
      </c>
      <c r="D25" s="215" t="s">
        <v>206</v>
      </c>
      <c r="E25" s="188" t="s">
        <v>200</v>
      </c>
      <c r="F25" s="216" t="s">
        <v>207</v>
      </c>
      <c r="G25" s="188" t="s">
        <v>119</v>
      </c>
      <c r="H25" s="189" t="s">
        <v>118</v>
      </c>
      <c r="I25" s="188" t="s">
        <v>120</v>
      </c>
      <c r="J25" s="188" t="s">
        <v>110</v>
      </c>
      <c r="K25" s="188">
        <v>0</v>
      </c>
      <c r="L25" s="190">
        <v>42005</v>
      </c>
      <c r="M25" s="188">
        <v>7656</v>
      </c>
      <c r="N25" s="190">
        <v>45291</v>
      </c>
      <c r="O25" s="188" t="s">
        <v>322</v>
      </c>
      <c r="P25" s="217" t="s">
        <v>218</v>
      </c>
    </row>
    <row r="26" spans="1:17" ht="100.5" customHeight="1" thickBot="1" x14ac:dyDescent="0.25">
      <c r="A26" s="96" t="s">
        <v>106</v>
      </c>
      <c r="B26" s="97" t="s">
        <v>186</v>
      </c>
      <c r="C26" s="218" t="s">
        <v>21</v>
      </c>
      <c r="D26" s="219" t="s">
        <v>206</v>
      </c>
      <c r="E26" s="218" t="s">
        <v>200</v>
      </c>
      <c r="F26" s="220" t="s">
        <v>207</v>
      </c>
      <c r="G26" s="218" t="s">
        <v>122</v>
      </c>
      <c r="H26" s="221" t="s">
        <v>121</v>
      </c>
      <c r="I26" s="218" t="s">
        <v>80</v>
      </c>
      <c r="J26" s="218" t="s">
        <v>123</v>
      </c>
      <c r="K26" s="218">
        <v>28.5</v>
      </c>
      <c r="L26" s="222">
        <v>41274</v>
      </c>
      <c r="M26" s="218">
        <v>22</v>
      </c>
      <c r="N26" s="222">
        <v>45291</v>
      </c>
      <c r="O26" s="218" t="s">
        <v>322</v>
      </c>
      <c r="P26" s="224" t="s">
        <v>208</v>
      </c>
    </row>
    <row r="27" spans="1:17" ht="213.75" customHeight="1" thickBot="1" x14ac:dyDescent="0.25">
      <c r="A27" s="208" t="s">
        <v>124</v>
      </c>
      <c r="B27" s="207" t="s">
        <v>187</v>
      </c>
      <c r="C27" s="210" t="s">
        <v>21</v>
      </c>
      <c r="D27" s="211" t="s">
        <v>206</v>
      </c>
      <c r="E27" s="210" t="s">
        <v>200</v>
      </c>
      <c r="F27" s="212" t="s">
        <v>207</v>
      </c>
      <c r="G27" s="210" t="s">
        <v>125</v>
      </c>
      <c r="H27" s="187" t="s">
        <v>126</v>
      </c>
      <c r="I27" s="210" t="s">
        <v>127</v>
      </c>
      <c r="J27" s="210" t="s">
        <v>110</v>
      </c>
      <c r="K27" s="210">
        <v>0</v>
      </c>
      <c r="L27" s="213">
        <v>42005</v>
      </c>
      <c r="M27" s="210">
        <v>150</v>
      </c>
      <c r="N27" s="213">
        <v>45291</v>
      </c>
      <c r="O27" s="210" t="s">
        <v>322</v>
      </c>
      <c r="P27" s="214" t="s">
        <v>325</v>
      </c>
    </row>
    <row r="28" spans="1:17" ht="319.5" customHeight="1" thickBot="1" x14ac:dyDescent="0.25">
      <c r="A28" s="252" t="s">
        <v>124</v>
      </c>
      <c r="B28" s="249" t="s">
        <v>187</v>
      </c>
      <c r="C28" s="188" t="s">
        <v>21</v>
      </c>
      <c r="D28" s="215" t="s">
        <v>206</v>
      </c>
      <c r="E28" s="188" t="s">
        <v>200</v>
      </c>
      <c r="F28" s="216" t="s">
        <v>207</v>
      </c>
      <c r="G28" s="188" t="s">
        <v>129</v>
      </c>
      <c r="H28" s="189" t="s">
        <v>128</v>
      </c>
      <c r="I28" s="188" t="s">
        <v>130</v>
      </c>
      <c r="J28" s="188" t="s">
        <v>110</v>
      </c>
      <c r="K28" s="188">
        <v>0</v>
      </c>
      <c r="L28" s="190">
        <v>42005</v>
      </c>
      <c r="M28" s="188">
        <v>4</v>
      </c>
      <c r="N28" s="190">
        <v>45291</v>
      </c>
      <c r="O28" s="188">
        <v>1</v>
      </c>
      <c r="P28" s="209" t="s">
        <v>333</v>
      </c>
    </row>
    <row r="29" spans="1:17" ht="78" customHeight="1" thickBot="1" x14ac:dyDescent="0.25">
      <c r="A29" s="252" t="s">
        <v>124</v>
      </c>
      <c r="B29" s="249" t="s">
        <v>187</v>
      </c>
      <c r="C29" s="188" t="s">
        <v>21</v>
      </c>
      <c r="D29" s="215" t="s">
        <v>206</v>
      </c>
      <c r="E29" s="188" t="s">
        <v>200</v>
      </c>
      <c r="F29" s="216" t="s">
        <v>207</v>
      </c>
      <c r="G29" s="188" t="s">
        <v>131</v>
      </c>
      <c r="H29" s="189" t="s">
        <v>132</v>
      </c>
      <c r="I29" s="188" t="s">
        <v>80</v>
      </c>
      <c r="J29" s="188" t="s">
        <v>123</v>
      </c>
      <c r="K29" s="188">
        <v>5.4</v>
      </c>
      <c r="L29" s="190">
        <v>41639</v>
      </c>
      <c r="M29" s="229">
        <v>5</v>
      </c>
      <c r="N29" s="190">
        <v>45291</v>
      </c>
      <c r="O29" s="188" t="s">
        <v>322</v>
      </c>
      <c r="P29" s="217" t="s">
        <v>208</v>
      </c>
    </row>
    <row r="30" spans="1:17" ht="82.5" customHeight="1" thickBot="1" x14ac:dyDescent="0.25">
      <c r="A30" s="253" t="s">
        <v>124</v>
      </c>
      <c r="B30" s="250" t="s">
        <v>187</v>
      </c>
      <c r="C30" s="218" t="s">
        <v>21</v>
      </c>
      <c r="D30" s="219" t="s">
        <v>206</v>
      </c>
      <c r="E30" s="218" t="s">
        <v>200</v>
      </c>
      <c r="F30" s="220" t="s">
        <v>207</v>
      </c>
      <c r="G30" s="218" t="s">
        <v>133</v>
      </c>
      <c r="H30" s="221" t="s">
        <v>134</v>
      </c>
      <c r="I30" s="218" t="s">
        <v>80</v>
      </c>
      <c r="J30" s="230" t="s">
        <v>123</v>
      </c>
      <c r="K30" s="231">
        <v>77.3</v>
      </c>
      <c r="L30" s="232">
        <v>41639</v>
      </c>
      <c r="M30" s="233">
        <v>90.5</v>
      </c>
      <c r="N30" s="232">
        <v>45291</v>
      </c>
      <c r="O30" s="231" t="s">
        <v>322</v>
      </c>
      <c r="P30" s="234" t="s">
        <v>208</v>
      </c>
    </row>
    <row r="31" spans="1:17" ht="82.5" customHeight="1" thickBot="1" x14ac:dyDescent="0.25">
      <c r="A31" s="253" t="s">
        <v>124</v>
      </c>
      <c r="B31" s="250" t="s">
        <v>187</v>
      </c>
      <c r="C31" s="218" t="s">
        <v>21</v>
      </c>
      <c r="D31" s="219" t="s">
        <v>317</v>
      </c>
      <c r="E31" s="218" t="s">
        <v>200</v>
      </c>
      <c r="F31" s="220" t="s">
        <v>207</v>
      </c>
      <c r="G31" s="218">
        <v>50120</v>
      </c>
      <c r="H31" s="221" t="s">
        <v>318</v>
      </c>
      <c r="I31" s="235" t="s">
        <v>127</v>
      </c>
      <c r="J31" s="236" t="s">
        <v>123</v>
      </c>
      <c r="K31" s="237">
        <v>0</v>
      </c>
      <c r="L31" s="238">
        <v>41639</v>
      </c>
      <c r="M31" s="237">
        <v>6</v>
      </c>
      <c r="N31" s="239">
        <v>45291</v>
      </c>
      <c r="O31" s="237">
        <v>0</v>
      </c>
      <c r="P31" s="240" t="s">
        <v>326</v>
      </c>
      <c r="Q31" s="206"/>
    </row>
    <row r="32" spans="1:17" ht="184.5" customHeight="1" thickBot="1" x14ac:dyDescent="0.25">
      <c r="A32" s="254" t="s">
        <v>135</v>
      </c>
      <c r="B32" s="251" t="s">
        <v>188</v>
      </c>
      <c r="C32" s="188" t="s">
        <v>21</v>
      </c>
      <c r="D32" s="215" t="s">
        <v>206</v>
      </c>
      <c r="E32" s="188" t="s">
        <v>200</v>
      </c>
      <c r="F32" s="216" t="s">
        <v>207</v>
      </c>
      <c r="G32" s="188" t="s">
        <v>136</v>
      </c>
      <c r="H32" s="189" t="s">
        <v>137</v>
      </c>
      <c r="I32" s="188" t="s">
        <v>138</v>
      </c>
      <c r="J32" s="241" t="s">
        <v>110</v>
      </c>
      <c r="K32" s="242">
        <v>0</v>
      </c>
      <c r="L32" s="243">
        <v>42005</v>
      </c>
      <c r="M32" s="242">
        <v>1</v>
      </c>
      <c r="N32" s="244">
        <v>45291</v>
      </c>
      <c r="O32" s="242">
        <v>0</v>
      </c>
      <c r="P32" s="245" t="s">
        <v>328</v>
      </c>
    </row>
    <row r="33" spans="1:16" ht="113.25" customHeight="1" thickBot="1" x14ac:dyDescent="0.25">
      <c r="A33" s="255" t="s">
        <v>135</v>
      </c>
      <c r="B33" s="249" t="s">
        <v>188</v>
      </c>
      <c r="C33" s="188" t="s">
        <v>21</v>
      </c>
      <c r="D33" s="215" t="s">
        <v>206</v>
      </c>
      <c r="E33" s="188" t="s">
        <v>200</v>
      </c>
      <c r="F33" s="216" t="s">
        <v>207</v>
      </c>
      <c r="G33" s="188" t="s">
        <v>219</v>
      </c>
      <c r="H33" s="189" t="s">
        <v>220</v>
      </c>
      <c r="I33" s="188" t="s">
        <v>221</v>
      </c>
      <c r="J33" s="188" t="s">
        <v>110</v>
      </c>
      <c r="K33" s="246">
        <v>0</v>
      </c>
      <c r="L33" s="190">
        <v>42005</v>
      </c>
      <c r="M33" s="246">
        <v>30415</v>
      </c>
      <c r="N33" s="190">
        <v>45291</v>
      </c>
      <c r="O33" s="188" t="s">
        <v>322</v>
      </c>
      <c r="P33" s="247" t="s">
        <v>222</v>
      </c>
    </row>
    <row r="34" spans="1:16" ht="100.5" customHeight="1" thickBot="1" x14ac:dyDescent="0.25">
      <c r="A34" s="98" t="s">
        <v>135</v>
      </c>
      <c r="B34" s="249" t="s">
        <v>188</v>
      </c>
      <c r="C34" s="188" t="s">
        <v>21</v>
      </c>
      <c r="D34" s="215" t="s">
        <v>206</v>
      </c>
      <c r="E34" s="188" t="s">
        <v>200</v>
      </c>
      <c r="F34" s="216" t="s">
        <v>207</v>
      </c>
      <c r="G34" s="188" t="s">
        <v>140</v>
      </c>
      <c r="H34" s="189" t="s">
        <v>139</v>
      </c>
      <c r="I34" s="188" t="s">
        <v>141</v>
      </c>
      <c r="J34" s="188" t="s">
        <v>123</v>
      </c>
      <c r="K34" s="246">
        <v>26553793</v>
      </c>
      <c r="L34" s="190">
        <v>41639</v>
      </c>
      <c r="M34" s="246">
        <v>27500000</v>
      </c>
      <c r="N34" s="190">
        <v>45291</v>
      </c>
      <c r="O34" s="188" t="s">
        <v>322</v>
      </c>
      <c r="P34" s="248" t="s">
        <v>223</v>
      </c>
    </row>
    <row r="35" spans="1:16" ht="95.25" customHeight="1" thickBot="1" x14ac:dyDescent="0.25">
      <c r="A35" s="99" t="s">
        <v>143</v>
      </c>
      <c r="B35" s="95" t="s">
        <v>189</v>
      </c>
      <c r="C35" s="183" t="s">
        <v>27</v>
      </c>
      <c r="D35" s="184" t="s">
        <v>283</v>
      </c>
      <c r="E35" s="183" t="s">
        <v>202</v>
      </c>
      <c r="F35" s="191" t="s">
        <v>142</v>
      </c>
      <c r="G35" s="183">
        <v>93701</v>
      </c>
      <c r="H35" s="185" t="s">
        <v>144</v>
      </c>
      <c r="I35" s="183" t="s">
        <v>148</v>
      </c>
      <c r="J35" s="183" t="s">
        <v>110</v>
      </c>
      <c r="K35" s="183">
        <v>0</v>
      </c>
      <c r="L35" s="186">
        <v>42005</v>
      </c>
      <c r="M35" s="183">
        <v>2</v>
      </c>
      <c r="N35" s="186">
        <v>45291</v>
      </c>
      <c r="O35" s="183">
        <v>1</v>
      </c>
      <c r="P35" s="192" t="s">
        <v>62</v>
      </c>
    </row>
    <row r="36" spans="1:16" ht="92.25" customHeight="1" thickBot="1" x14ac:dyDescent="0.25">
      <c r="A36" s="99" t="s">
        <v>143</v>
      </c>
      <c r="B36" s="95" t="s">
        <v>189</v>
      </c>
      <c r="C36" s="183" t="s">
        <v>27</v>
      </c>
      <c r="D36" s="184" t="s">
        <v>283</v>
      </c>
      <c r="E36" s="183" t="s">
        <v>202</v>
      </c>
      <c r="F36" s="191" t="s">
        <v>142</v>
      </c>
      <c r="G36" s="183">
        <v>94800</v>
      </c>
      <c r="H36" s="185" t="s">
        <v>145</v>
      </c>
      <c r="I36" s="183" t="s">
        <v>109</v>
      </c>
      <c r="J36" s="183" t="s">
        <v>123</v>
      </c>
      <c r="K36" s="183">
        <v>0</v>
      </c>
      <c r="L36" s="186">
        <v>42005</v>
      </c>
      <c r="M36" s="183">
        <v>1</v>
      </c>
      <c r="N36" s="186">
        <v>45291</v>
      </c>
      <c r="O36" s="183">
        <v>0</v>
      </c>
      <c r="P36" s="192" t="s">
        <v>62</v>
      </c>
    </row>
    <row r="37" spans="1:16" ht="111.75" customHeight="1" thickBot="1" x14ac:dyDescent="0.25">
      <c r="A37" s="99" t="s">
        <v>143</v>
      </c>
      <c r="B37" s="95" t="s">
        <v>190</v>
      </c>
      <c r="C37" s="183" t="s">
        <v>27</v>
      </c>
      <c r="D37" s="184" t="s">
        <v>283</v>
      </c>
      <c r="E37" s="183" t="s">
        <v>202</v>
      </c>
      <c r="F37" s="193" t="s">
        <v>146</v>
      </c>
      <c r="G37" s="188">
        <v>93701</v>
      </c>
      <c r="H37" s="189" t="s">
        <v>144</v>
      </c>
      <c r="I37" s="188" t="s">
        <v>148</v>
      </c>
      <c r="J37" s="188" t="s">
        <v>110</v>
      </c>
      <c r="K37" s="183">
        <v>0</v>
      </c>
      <c r="L37" s="186">
        <v>42005</v>
      </c>
      <c r="M37" s="183">
        <v>2</v>
      </c>
      <c r="N37" s="186">
        <v>45291</v>
      </c>
      <c r="O37" s="183">
        <v>1</v>
      </c>
      <c r="P37" s="192" t="s">
        <v>62</v>
      </c>
    </row>
    <row r="38" spans="1:16" ht="105.75" customHeight="1" thickBot="1" x14ac:dyDescent="0.25">
      <c r="A38" s="99" t="s">
        <v>143</v>
      </c>
      <c r="B38" s="95" t="s">
        <v>190</v>
      </c>
      <c r="C38" s="183" t="s">
        <v>27</v>
      </c>
      <c r="D38" s="184" t="s">
        <v>283</v>
      </c>
      <c r="E38" s="183" t="s">
        <v>202</v>
      </c>
      <c r="F38" s="193" t="s">
        <v>146</v>
      </c>
      <c r="G38" s="188">
        <v>94302</v>
      </c>
      <c r="H38" s="189" t="s">
        <v>147</v>
      </c>
      <c r="I38" s="188" t="s">
        <v>74</v>
      </c>
      <c r="J38" s="188" t="s">
        <v>123</v>
      </c>
      <c r="K38" s="183">
        <v>0</v>
      </c>
      <c r="L38" s="186">
        <v>42005</v>
      </c>
      <c r="M38" s="183">
        <v>2</v>
      </c>
      <c r="N38" s="186">
        <v>45291</v>
      </c>
      <c r="O38" s="183">
        <v>1</v>
      </c>
      <c r="P38" s="192" t="s">
        <v>62</v>
      </c>
    </row>
    <row r="39" spans="1:16" ht="80.25" customHeight="1" thickBot="1" x14ac:dyDescent="0.25">
      <c r="A39" s="155" t="s">
        <v>150</v>
      </c>
      <c r="B39" s="95" t="s">
        <v>191</v>
      </c>
      <c r="C39" s="183" t="s">
        <v>27</v>
      </c>
      <c r="D39" s="184" t="s">
        <v>283</v>
      </c>
      <c r="E39" s="183" t="s">
        <v>202</v>
      </c>
      <c r="F39" s="193" t="s">
        <v>149</v>
      </c>
      <c r="G39" s="188">
        <v>93701</v>
      </c>
      <c r="H39" s="189" t="s">
        <v>144</v>
      </c>
      <c r="I39" s="188" t="s">
        <v>148</v>
      </c>
      <c r="J39" s="188" t="s">
        <v>110</v>
      </c>
      <c r="K39" s="183">
        <v>0</v>
      </c>
      <c r="L39" s="186">
        <v>42005</v>
      </c>
      <c r="M39" s="183">
        <v>6</v>
      </c>
      <c r="N39" s="186">
        <v>45291</v>
      </c>
      <c r="O39" s="183">
        <v>2</v>
      </c>
      <c r="P39" s="192" t="s">
        <v>62</v>
      </c>
    </row>
    <row r="40" spans="1:16" ht="81.75" customHeight="1" thickBot="1" x14ac:dyDescent="0.25">
      <c r="A40" s="157" t="s">
        <v>150</v>
      </c>
      <c r="B40" s="156" t="s">
        <v>191</v>
      </c>
      <c r="C40" s="183" t="s">
        <v>27</v>
      </c>
      <c r="D40" s="184" t="s">
        <v>283</v>
      </c>
      <c r="E40" s="183" t="s">
        <v>202</v>
      </c>
      <c r="F40" s="193" t="s">
        <v>149</v>
      </c>
      <c r="G40" s="188">
        <v>94800</v>
      </c>
      <c r="H40" s="189" t="s">
        <v>145</v>
      </c>
      <c r="I40" s="188" t="s">
        <v>109</v>
      </c>
      <c r="J40" s="188" t="s">
        <v>123</v>
      </c>
      <c r="K40" s="183">
        <v>0</v>
      </c>
      <c r="L40" s="186">
        <v>42005</v>
      </c>
      <c r="M40" s="183">
        <v>4</v>
      </c>
      <c r="N40" s="186">
        <v>45291</v>
      </c>
      <c r="O40" s="183">
        <v>0</v>
      </c>
      <c r="P40" s="192" t="s">
        <v>62</v>
      </c>
    </row>
    <row r="41" spans="1:16" ht="96" customHeight="1" thickBot="1" x14ac:dyDescent="0.25">
      <c r="A41" s="158" t="s">
        <v>143</v>
      </c>
      <c r="B41" s="93" t="s">
        <v>192</v>
      </c>
      <c r="C41" s="183" t="s">
        <v>27</v>
      </c>
      <c r="D41" s="184" t="s">
        <v>283</v>
      </c>
      <c r="E41" s="183" t="s">
        <v>202</v>
      </c>
      <c r="F41" s="193" t="s">
        <v>151</v>
      </c>
      <c r="G41" s="188">
        <v>93701</v>
      </c>
      <c r="H41" s="189" t="s">
        <v>144</v>
      </c>
      <c r="I41" s="188" t="s">
        <v>148</v>
      </c>
      <c r="J41" s="188" t="s">
        <v>110</v>
      </c>
      <c r="K41" s="188">
        <v>0</v>
      </c>
      <c r="L41" s="190">
        <v>42005</v>
      </c>
      <c r="M41" s="183">
        <v>1</v>
      </c>
      <c r="N41" s="186">
        <v>45291</v>
      </c>
      <c r="O41" s="183">
        <v>0</v>
      </c>
      <c r="P41" s="192" t="s">
        <v>62</v>
      </c>
    </row>
    <row r="42" spans="1:16" ht="96" customHeight="1" thickBot="1" x14ac:dyDescent="0.25">
      <c r="A42" s="202" t="s">
        <v>143</v>
      </c>
      <c r="B42" s="201" t="s">
        <v>192</v>
      </c>
      <c r="C42" s="183" t="s">
        <v>27</v>
      </c>
      <c r="D42" s="184" t="s">
        <v>283</v>
      </c>
      <c r="E42" s="183" t="s">
        <v>202</v>
      </c>
      <c r="F42" s="193" t="s">
        <v>151</v>
      </c>
      <c r="G42" s="194">
        <v>94800</v>
      </c>
      <c r="H42" s="195" t="s">
        <v>145</v>
      </c>
      <c r="I42" s="194" t="s">
        <v>109</v>
      </c>
      <c r="J42" s="194" t="s">
        <v>123</v>
      </c>
      <c r="K42" s="194">
        <v>0</v>
      </c>
      <c r="L42" s="196">
        <v>42005</v>
      </c>
      <c r="M42" s="197">
        <v>1</v>
      </c>
      <c r="N42" s="198">
        <v>45291</v>
      </c>
      <c r="O42" s="183">
        <v>0</v>
      </c>
      <c r="P42" s="192" t="s">
        <v>62</v>
      </c>
    </row>
    <row r="43" spans="1:16" ht="83.25" customHeight="1" thickBot="1" x14ac:dyDescent="0.25">
      <c r="A43" s="100" t="s">
        <v>153</v>
      </c>
      <c r="B43" s="93" t="s">
        <v>193</v>
      </c>
      <c r="C43" s="183" t="s">
        <v>27</v>
      </c>
      <c r="D43" s="184" t="s">
        <v>284</v>
      </c>
      <c r="E43" s="183" t="s">
        <v>202</v>
      </c>
      <c r="F43" s="191" t="s">
        <v>152</v>
      </c>
      <c r="G43" s="335" t="s">
        <v>173</v>
      </c>
      <c r="H43" s="336"/>
      <c r="I43" s="336"/>
      <c r="J43" s="336"/>
      <c r="K43" s="336"/>
      <c r="L43" s="336"/>
      <c r="M43" s="336"/>
      <c r="N43" s="336"/>
      <c r="O43" s="337"/>
      <c r="P43" s="192" t="s">
        <v>62</v>
      </c>
    </row>
    <row r="44" spans="1:16" ht="151.5" customHeight="1" thickBot="1" x14ac:dyDescent="0.25">
      <c r="A44" s="98" t="s">
        <v>154</v>
      </c>
      <c r="B44" s="91" t="s">
        <v>194</v>
      </c>
      <c r="C44" s="183" t="s">
        <v>44</v>
      </c>
      <c r="D44" s="184" t="s">
        <v>158</v>
      </c>
      <c r="E44" s="183" t="s">
        <v>335</v>
      </c>
      <c r="F44" s="191" t="s">
        <v>157</v>
      </c>
      <c r="G44" s="183">
        <v>60000</v>
      </c>
      <c r="H44" s="185" t="s">
        <v>155</v>
      </c>
      <c r="I44" s="183" t="s">
        <v>127</v>
      </c>
      <c r="J44" s="183" t="s">
        <v>110</v>
      </c>
      <c r="K44" s="183">
        <v>0</v>
      </c>
      <c r="L44" s="186">
        <v>42005</v>
      </c>
      <c r="M44" s="183">
        <v>8</v>
      </c>
      <c r="N44" s="186">
        <v>45291</v>
      </c>
      <c r="O44" s="183">
        <v>3</v>
      </c>
      <c r="P44" s="199" t="s">
        <v>316</v>
      </c>
    </row>
    <row r="45" spans="1:16" ht="123" customHeight="1" thickBot="1" x14ac:dyDescent="0.25">
      <c r="A45" s="98" t="s">
        <v>154</v>
      </c>
      <c r="B45" s="91" t="s">
        <v>194</v>
      </c>
      <c r="C45" s="183" t="s">
        <v>44</v>
      </c>
      <c r="D45" s="184" t="s">
        <v>158</v>
      </c>
      <c r="E45" s="183" t="s">
        <v>335</v>
      </c>
      <c r="F45" s="191" t="s">
        <v>157</v>
      </c>
      <c r="G45" s="183">
        <v>62600</v>
      </c>
      <c r="H45" s="185" t="s">
        <v>224</v>
      </c>
      <c r="I45" s="183" t="s">
        <v>127</v>
      </c>
      <c r="J45" s="183" t="s">
        <v>81</v>
      </c>
      <c r="K45" s="183">
        <v>0</v>
      </c>
      <c r="L45" s="186">
        <v>42005</v>
      </c>
      <c r="M45" s="183">
        <v>1</v>
      </c>
      <c r="N45" s="186">
        <v>45291</v>
      </c>
      <c r="O45" s="183">
        <v>0</v>
      </c>
      <c r="P45" s="199" t="s">
        <v>225</v>
      </c>
    </row>
    <row r="46" spans="1:16" ht="111" customHeight="1" thickBot="1" x14ac:dyDescent="0.25">
      <c r="A46" s="98" t="s">
        <v>154</v>
      </c>
      <c r="B46" s="91" t="s">
        <v>194</v>
      </c>
      <c r="C46" s="183" t="s">
        <v>44</v>
      </c>
      <c r="D46" s="184" t="s">
        <v>158</v>
      </c>
      <c r="E46" s="183" t="s">
        <v>335</v>
      </c>
      <c r="F46" s="191" t="s">
        <v>157</v>
      </c>
      <c r="G46" s="183">
        <v>62700</v>
      </c>
      <c r="H46" s="185" t="s">
        <v>226</v>
      </c>
      <c r="I46" s="183" t="s">
        <v>127</v>
      </c>
      <c r="J46" s="183" t="s">
        <v>81</v>
      </c>
      <c r="K46" s="183">
        <v>0</v>
      </c>
      <c r="L46" s="186">
        <v>42005</v>
      </c>
      <c r="M46" s="183">
        <v>3</v>
      </c>
      <c r="N46" s="186">
        <v>45291</v>
      </c>
      <c r="O46" s="183">
        <v>0</v>
      </c>
      <c r="P46" s="199" t="s">
        <v>227</v>
      </c>
    </row>
    <row r="47" spans="1:16" ht="146.25" customHeight="1" thickBot="1" x14ac:dyDescent="0.25">
      <c r="A47" s="98" t="s">
        <v>154</v>
      </c>
      <c r="B47" s="91" t="s">
        <v>194</v>
      </c>
      <c r="C47" s="183" t="s">
        <v>44</v>
      </c>
      <c r="D47" s="184" t="s">
        <v>158</v>
      </c>
      <c r="E47" s="183" t="s">
        <v>335</v>
      </c>
      <c r="F47" s="191" t="s">
        <v>157</v>
      </c>
      <c r="G47" s="183">
        <v>62800</v>
      </c>
      <c r="H47" s="185" t="s">
        <v>228</v>
      </c>
      <c r="I47" s="183" t="s">
        <v>127</v>
      </c>
      <c r="J47" s="183" t="s">
        <v>81</v>
      </c>
      <c r="K47" s="183">
        <v>0</v>
      </c>
      <c r="L47" s="186">
        <v>42005</v>
      </c>
      <c r="M47" s="79">
        <v>5</v>
      </c>
      <c r="N47" s="186">
        <v>45291</v>
      </c>
      <c r="O47" s="183">
        <v>0</v>
      </c>
      <c r="P47" s="199" t="s">
        <v>229</v>
      </c>
    </row>
    <row r="48" spans="1:16" ht="101.25" customHeight="1" thickBot="1" x14ac:dyDescent="0.25">
      <c r="A48" s="98" t="s">
        <v>154</v>
      </c>
      <c r="B48" s="91" t="s">
        <v>194</v>
      </c>
      <c r="C48" s="183" t="s">
        <v>44</v>
      </c>
      <c r="D48" s="184" t="s">
        <v>158</v>
      </c>
      <c r="E48" s="183" t="s">
        <v>335</v>
      </c>
      <c r="F48" s="191" t="s">
        <v>157</v>
      </c>
      <c r="G48" s="183">
        <v>62900</v>
      </c>
      <c r="H48" s="185" t="s">
        <v>230</v>
      </c>
      <c r="I48" s="183" t="s">
        <v>127</v>
      </c>
      <c r="J48" s="183" t="s">
        <v>81</v>
      </c>
      <c r="K48" s="183">
        <v>0</v>
      </c>
      <c r="L48" s="186">
        <v>42005</v>
      </c>
      <c r="M48" s="79">
        <v>3</v>
      </c>
      <c r="N48" s="186">
        <v>45291</v>
      </c>
      <c r="O48" s="183">
        <v>0</v>
      </c>
      <c r="P48" s="199" t="s">
        <v>231</v>
      </c>
    </row>
    <row r="49" spans="1:16" ht="104.25" customHeight="1" thickBot="1" x14ac:dyDescent="0.25">
      <c r="A49" s="98" t="s">
        <v>154</v>
      </c>
      <c r="B49" s="91" t="s">
        <v>194</v>
      </c>
      <c r="C49" s="183" t="s">
        <v>44</v>
      </c>
      <c r="D49" s="184" t="s">
        <v>158</v>
      </c>
      <c r="E49" s="183" t="s">
        <v>335</v>
      </c>
      <c r="F49" s="191" t="s">
        <v>157</v>
      </c>
      <c r="G49" s="183">
        <v>63100</v>
      </c>
      <c r="H49" s="185" t="s">
        <v>232</v>
      </c>
      <c r="I49" s="183" t="s">
        <v>127</v>
      </c>
      <c r="J49" s="183" t="s">
        <v>81</v>
      </c>
      <c r="K49" s="183">
        <v>0</v>
      </c>
      <c r="L49" s="186">
        <v>42005</v>
      </c>
      <c r="M49" s="79">
        <v>1</v>
      </c>
      <c r="N49" s="186">
        <v>45291</v>
      </c>
      <c r="O49" s="183">
        <v>0</v>
      </c>
      <c r="P49" s="199" t="s">
        <v>233</v>
      </c>
    </row>
    <row r="50" spans="1:16" ht="93.75" customHeight="1" thickBot="1" x14ac:dyDescent="0.25">
      <c r="A50" s="98" t="s">
        <v>154</v>
      </c>
      <c r="B50" s="91" t="s">
        <v>194</v>
      </c>
      <c r="C50" s="183" t="s">
        <v>44</v>
      </c>
      <c r="D50" s="184" t="s">
        <v>158</v>
      </c>
      <c r="E50" s="183" t="s">
        <v>335</v>
      </c>
      <c r="F50" s="191" t="s">
        <v>157</v>
      </c>
      <c r="G50" s="183">
        <v>63200</v>
      </c>
      <c r="H50" s="185" t="s">
        <v>234</v>
      </c>
      <c r="I50" s="183" t="s">
        <v>127</v>
      </c>
      <c r="J50" s="183" t="s">
        <v>81</v>
      </c>
      <c r="K50" s="183">
        <v>0</v>
      </c>
      <c r="L50" s="186">
        <v>42005</v>
      </c>
      <c r="M50" s="79">
        <v>1</v>
      </c>
      <c r="N50" s="186">
        <v>45291</v>
      </c>
      <c r="O50" s="183">
        <v>0</v>
      </c>
      <c r="P50" s="199" t="s">
        <v>235</v>
      </c>
    </row>
    <row r="51" spans="1:16" ht="132.75" customHeight="1" thickBot="1" x14ac:dyDescent="0.25">
      <c r="A51" s="98" t="s">
        <v>154</v>
      </c>
      <c r="B51" s="91" t="s">
        <v>194</v>
      </c>
      <c r="C51" s="183" t="s">
        <v>44</v>
      </c>
      <c r="D51" s="184" t="s">
        <v>158</v>
      </c>
      <c r="E51" s="183" t="s">
        <v>335</v>
      </c>
      <c r="F51" s="191" t="s">
        <v>157</v>
      </c>
      <c r="G51" s="183">
        <v>50105</v>
      </c>
      <c r="H51" s="185" t="s">
        <v>236</v>
      </c>
      <c r="I51" s="183" t="s">
        <v>115</v>
      </c>
      <c r="J51" s="183" t="s">
        <v>67</v>
      </c>
      <c r="K51" s="183">
        <v>0</v>
      </c>
      <c r="L51" s="186">
        <v>42005</v>
      </c>
      <c r="M51" s="183">
        <v>1</v>
      </c>
      <c r="N51" s="186">
        <v>45291</v>
      </c>
      <c r="O51" s="183">
        <v>0</v>
      </c>
      <c r="P51" s="199" t="s">
        <v>237</v>
      </c>
    </row>
    <row r="52" spans="1:16" ht="96.75" customHeight="1" thickBot="1" x14ac:dyDescent="0.25">
      <c r="A52" s="98" t="s">
        <v>154</v>
      </c>
      <c r="B52" s="91" t="s">
        <v>194</v>
      </c>
      <c r="C52" s="183" t="s">
        <v>44</v>
      </c>
      <c r="D52" s="184" t="s">
        <v>158</v>
      </c>
      <c r="E52" s="183" t="s">
        <v>335</v>
      </c>
      <c r="F52" s="191" t="s">
        <v>157</v>
      </c>
      <c r="G52" s="183">
        <v>50130</v>
      </c>
      <c r="H52" s="185" t="s">
        <v>238</v>
      </c>
      <c r="I52" s="183" t="s">
        <v>127</v>
      </c>
      <c r="J52" s="183" t="s">
        <v>81</v>
      </c>
      <c r="K52" s="183">
        <v>0</v>
      </c>
      <c r="L52" s="186">
        <v>42005</v>
      </c>
      <c r="M52" s="183">
        <v>1</v>
      </c>
      <c r="N52" s="186">
        <v>45291</v>
      </c>
      <c r="O52" s="183">
        <v>0</v>
      </c>
      <c r="P52" s="199" t="s">
        <v>239</v>
      </c>
    </row>
    <row r="53" spans="1:16" ht="104.25" customHeight="1" thickBot="1" x14ac:dyDescent="0.25">
      <c r="A53" s="98" t="s">
        <v>154</v>
      </c>
      <c r="B53" s="91" t="s">
        <v>194</v>
      </c>
      <c r="C53" s="183" t="s">
        <v>44</v>
      </c>
      <c r="D53" s="184" t="s">
        <v>158</v>
      </c>
      <c r="E53" s="183" t="s">
        <v>335</v>
      </c>
      <c r="F53" s="191" t="s">
        <v>157</v>
      </c>
      <c r="G53" s="183">
        <v>62200</v>
      </c>
      <c r="H53" s="185" t="s">
        <v>156</v>
      </c>
      <c r="I53" s="183" t="s">
        <v>159</v>
      </c>
      <c r="J53" s="183" t="s">
        <v>110</v>
      </c>
      <c r="K53" s="183">
        <v>0</v>
      </c>
      <c r="L53" s="186">
        <v>42005</v>
      </c>
      <c r="M53" s="183">
        <v>3</v>
      </c>
      <c r="N53" s="186">
        <v>45291</v>
      </c>
      <c r="O53" s="183">
        <v>1</v>
      </c>
      <c r="P53" s="200" t="s">
        <v>240</v>
      </c>
    </row>
    <row r="54" spans="1:16" ht="175.5" customHeight="1" thickBot="1" x14ac:dyDescent="0.25">
      <c r="A54" s="99" t="s">
        <v>91</v>
      </c>
      <c r="B54" s="91" t="s">
        <v>195</v>
      </c>
      <c r="C54" s="183" t="s">
        <v>44</v>
      </c>
      <c r="D54" s="184" t="s">
        <v>158</v>
      </c>
      <c r="E54" s="183" t="s">
        <v>335</v>
      </c>
      <c r="F54" s="191" t="s">
        <v>160</v>
      </c>
      <c r="G54" s="183">
        <v>60000</v>
      </c>
      <c r="H54" s="185" t="s">
        <v>155</v>
      </c>
      <c r="I54" s="183" t="s">
        <v>127</v>
      </c>
      <c r="J54" s="183" t="s">
        <v>110</v>
      </c>
      <c r="K54" s="183">
        <v>0</v>
      </c>
      <c r="L54" s="186">
        <v>42005</v>
      </c>
      <c r="M54" s="183">
        <v>20</v>
      </c>
      <c r="N54" s="186">
        <v>45291</v>
      </c>
      <c r="O54" s="183">
        <v>5</v>
      </c>
      <c r="P54" s="200" t="s">
        <v>241</v>
      </c>
    </row>
    <row r="55" spans="1:16" ht="139.5" customHeight="1" thickBot="1" x14ac:dyDescent="0.25">
      <c r="A55" s="99" t="s">
        <v>91</v>
      </c>
      <c r="B55" s="91" t="s">
        <v>195</v>
      </c>
      <c r="C55" s="183" t="s">
        <v>44</v>
      </c>
      <c r="D55" s="184" t="s">
        <v>158</v>
      </c>
      <c r="E55" s="183" t="s">
        <v>335</v>
      </c>
      <c r="F55" s="191" t="s">
        <v>160</v>
      </c>
      <c r="G55" s="183">
        <v>67310</v>
      </c>
      <c r="H55" s="185" t="s">
        <v>242</v>
      </c>
      <c r="I55" s="183" t="s">
        <v>127</v>
      </c>
      <c r="J55" s="183" t="s">
        <v>81</v>
      </c>
      <c r="K55" s="183">
        <v>0</v>
      </c>
      <c r="L55" s="186">
        <v>41640</v>
      </c>
      <c r="M55" s="183">
        <v>10</v>
      </c>
      <c r="N55" s="186">
        <v>45291</v>
      </c>
      <c r="O55" s="183">
        <v>0</v>
      </c>
      <c r="P55" s="200" t="s">
        <v>274</v>
      </c>
    </row>
    <row r="56" spans="1:16" ht="112.5" customHeight="1" thickBot="1" x14ac:dyDescent="0.25">
      <c r="A56" s="99" t="s">
        <v>91</v>
      </c>
      <c r="B56" s="91" t="s">
        <v>195</v>
      </c>
      <c r="C56" s="183" t="s">
        <v>44</v>
      </c>
      <c r="D56" s="184" t="s">
        <v>158</v>
      </c>
      <c r="E56" s="183" t="s">
        <v>335</v>
      </c>
      <c r="F56" s="191" t="s">
        <v>160</v>
      </c>
      <c r="G56" s="183">
        <v>62200</v>
      </c>
      <c r="H56" s="185" t="s">
        <v>156</v>
      </c>
      <c r="I56" s="183" t="s">
        <v>159</v>
      </c>
      <c r="J56" s="183" t="s">
        <v>110</v>
      </c>
      <c r="K56" s="183">
        <v>0</v>
      </c>
      <c r="L56" s="186">
        <v>42005</v>
      </c>
      <c r="M56" s="183">
        <v>1</v>
      </c>
      <c r="N56" s="186">
        <v>45291</v>
      </c>
      <c r="O56" s="183">
        <v>0</v>
      </c>
      <c r="P56" s="192" t="s">
        <v>243</v>
      </c>
    </row>
    <row r="57" spans="1:16" ht="224.25" customHeight="1" thickBot="1" x14ac:dyDescent="0.25">
      <c r="A57" s="99" t="s">
        <v>91</v>
      </c>
      <c r="B57" s="91" t="s">
        <v>195</v>
      </c>
      <c r="C57" s="183" t="s">
        <v>44</v>
      </c>
      <c r="D57" s="184" t="s">
        <v>158</v>
      </c>
      <c r="E57" s="183" t="s">
        <v>335</v>
      </c>
      <c r="F57" s="191" t="s">
        <v>160</v>
      </c>
      <c r="G57" s="183">
        <v>67001</v>
      </c>
      <c r="H57" s="185" t="s">
        <v>161</v>
      </c>
      <c r="I57" s="183" t="s">
        <v>162</v>
      </c>
      <c r="J57" s="183" t="s">
        <v>110</v>
      </c>
      <c r="K57" s="183">
        <v>0</v>
      </c>
      <c r="L57" s="186">
        <v>42005</v>
      </c>
      <c r="M57" s="183">
        <v>15</v>
      </c>
      <c r="N57" s="186">
        <v>45291</v>
      </c>
      <c r="O57" s="183">
        <v>5</v>
      </c>
      <c r="P57" s="192" t="s">
        <v>244</v>
      </c>
    </row>
    <row r="58" spans="1:16" ht="146.25" customHeight="1" thickBot="1" x14ac:dyDescent="0.25">
      <c r="A58" s="99" t="s">
        <v>91</v>
      </c>
      <c r="B58" s="91" t="s">
        <v>195</v>
      </c>
      <c r="C58" s="183" t="s">
        <v>44</v>
      </c>
      <c r="D58" s="184" t="s">
        <v>158</v>
      </c>
      <c r="E58" s="183" t="s">
        <v>335</v>
      </c>
      <c r="F58" s="191" t="s">
        <v>160</v>
      </c>
      <c r="G58" s="183">
        <v>67315</v>
      </c>
      <c r="H58" s="185" t="s">
        <v>163</v>
      </c>
      <c r="I58" s="183" t="s">
        <v>127</v>
      </c>
      <c r="J58" s="183" t="s">
        <v>123</v>
      </c>
      <c r="K58" s="183">
        <v>0</v>
      </c>
      <c r="L58" s="186">
        <v>42005</v>
      </c>
      <c r="M58" s="183">
        <v>10</v>
      </c>
      <c r="N58" s="186">
        <v>45291</v>
      </c>
      <c r="O58" s="183">
        <v>0</v>
      </c>
      <c r="P58" s="200" t="s">
        <v>275</v>
      </c>
    </row>
    <row r="59" spans="1:16" ht="109.5" customHeight="1" thickBot="1" x14ac:dyDescent="0.25">
      <c r="A59" s="99" t="s">
        <v>91</v>
      </c>
      <c r="B59" s="91" t="s">
        <v>195</v>
      </c>
      <c r="C59" s="183" t="s">
        <v>44</v>
      </c>
      <c r="D59" s="184" t="s">
        <v>158</v>
      </c>
      <c r="E59" s="183" t="s">
        <v>335</v>
      </c>
      <c r="F59" s="191" t="s">
        <v>160</v>
      </c>
      <c r="G59" s="183">
        <v>67010</v>
      </c>
      <c r="H59" s="185" t="s">
        <v>164</v>
      </c>
      <c r="I59" s="183" t="s">
        <v>127</v>
      </c>
      <c r="J59" s="183" t="s">
        <v>123</v>
      </c>
      <c r="K59" s="183">
        <v>0</v>
      </c>
      <c r="L59" s="186">
        <v>42005</v>
      </c>
      <c r="M59" s="183">
        <v>45</v>
      </c>
      <c r="N59" s="186">
        <v>45291</v>
      </c>
      <c r="O59" s="183">
        <v>10</v>
      </c>
      <c r="P59" s="200" t="s">
        <v>282</v>
      </c>
    </row>
    <row r="60" spans="1:16" ht="106.5" customHeight="1" thickBot="1" x14ac:dyDescent="0.25">
      <c r="A60" s="99" t="s">
        <v>91</v>
      </c>
      <c r="B60" s="91" t="s">
        <v>195</v>
      </c>
      <c r="C60" s="183" t="s">
        <v>44</v>
      </c>
      <c r="D60" s="184" t="s">
        <v>158</v>
      </c>
      <c r="E60" s="183" t="s">
        <v>335</v>
      </c>
      <c r="F60" s="191" t="s">
        <v>160</v>
      </c>
      <c r="G60" s="183">
        <v>55102</v>
      </c>
      <c r="H60" s="185" t="s">
        <v>165</v>
      </c>
      <c r="I60" s="183" t="s">
        <v>130</v>
      </c>
      <c r="J60" s="183" t="s">
        <v>110</v>
      </c>
      <c r="K60" s="183">
        <v>0</v>
      </c>
      <c r="L60" s="186">
        <v>42005</v>
      </c>
      <c r="M60" s="183">
        <v>1</v>
      </c>
      <c r="N60" s="186">
        <v>45291</v>
      </c>
      <c r="O60" s="183">
        <v>0</v>
      </c>
      <c r="P60" s="192" t="s">
        <v>245</v>
      </c>
    </row>
    <row r="61" spans="1:16" ht="183.75" customHeight="1" thickBot="1" x14ac:dyDescent="0.25">
      <c r="A61" s="99" t="s">
        <v>154</v>
      </c>
      <c r="B61" s="91" t="s">
        <v>198</v>
      </c>
      <c r="C61" s="183" t="s">
        <v>44</v>
      </c>
      <c r="D61" s="184" t="s">
        <v>158</v>
      </c>
      <c r="E61" s="183" t="s">
        <v>335</v>
      </c>
      <c r="F61" s="191" t="s">
        <v>167</v>
      </c>
      <c r="G61" s="257">
        <v>60000</v>
      </c>
      <c r="H61" s="258" t="s">
        <v>155</v>
      </c>
      <c r="I61" s="257" t="s">
        <v>127</v>
      </c>
      <c r="J61" s="257" t="s">
        <v>168</v>
      </c>
      <c r="K61" s="257">
        <v>0</v>
      </c>
      <c r="L61" s="259">
        <v>42005</v>
      </c>
      <c r="M61" s="257">
        <v>52</v>
      </c>
      <c r="N61" s="259">
        <v>45291</v>
      </c>
      <c r="O61" s="257">
        <v>10</v>
      </c>
      <c r="P61" s="260" t="s">
        <v>336</v>
      </c>
    </row>
    <row r="62" spans="1:16" ht="183.75" customHeight="1" thickBot="1" x14ac:dyDescent="0.25">
      <c r="A62" s="99" t="s">
        <v>154</v>
      </c>
      <c r="B62" s="91" t="s">
        <v>198</v>
      </c>
      <c r="C62" s="183" t="s">
        <v>44</v>
      </c>
      <c r="D62" s="184" t="s">
        <v>158</v>
      </c>
      <c r="E62" s="183" t="s">
        <v>335</v>
      </c>
      <c r="F62" s="191" t="s">
        <v>167</v>
      </c>
      <c r="G62" s="257">
        <v>50130</v>
      </c>
      <c r="H62" s="258" t="s">
        <v>337</v>
      </c>
      <c r="I62" s="257" t="s">
        <v>127</v>
      </c>
      <c r="J62" s="257" t="s">
        <v>338</v>
      </c>
      <c r="K62" s="257">
        <v>0</v>
      </c>
      <c r="L62" s="259">
        <v>42005</v>
      </c>
      <c r="M62" s="257">
        <v>0</v>
      </c>
      <c r="N62" s="259">
        <v>45291</v>
      </c>
      <c r="O62" s="257">
        <v>0</v>
      </c>
      <c r="P62" s="260" t="s">
        <v>348</v>
      </c>
    </row>
    <row r="63" spans="1:16" ht="120" customHeight="1" thickBot="1" x14ac:dyDescent="0.25">
      <c r="A63" s="99" t="s">
        <v>154</v>
      </c>
      <c r="B63" s="91" t="s">
        <v>198</v>
      </c>
      <c r="C63" s="183" t="s">
        <v>44</v>
      </c>
      <c r="D63" s="184" t="s">
        <v>158</v>
      </c>
      <c r="E63" s="183" t="s">
        <v>335</v>
      </c>
      <c r="F63" s="191" t="s">
        <v>167</v>
      </c>
      <c r="G63" s="183">
        <v>50120</v>
      </c>
      <c r="H63" s="185" t="s">
        <v>246</v>
      </c>
      <c r="I63" s="183" t="s">
        <v>127</v>
      </c>
      <c r="J63" s="183" t="s">
        <v>81</v>
      </c>
      <c r="K63" s="183">
        <v>0</v>
      </c>
      <c r="L63" s="186">
        <v>41640</v>
      </c>
      <c r="M63" s="183">
        <v>0</v>
      </c>
      <c r="N63" s="186">
        <v>45291</v>
      </c>
      <c r="O63" s="183">
        <v>0</v>
      </c>
      <c r="P63" s="200" t="s">
        <v>276</v>
      </c>
    </row>
    <row r="64" spans="1:16" ht="148.5" customHeight="1" thickBot="1" x14ac:dyDescent="0.25">
      <c r="A64" s="99" t="s">
        <v>154</v>
      </c>
      <c r="B64" s="91" t="s">
        <v>198</v>
      </c>
      <c r="C64" s="183" t="s">
        <v>44</v>
      </c>
      <c r="D64" s="184" t="s">
        <v>158</v>
      </c>
      <c r="E64" s="183" t="s">
        <v>335</v>
      </c>
      <c r="F64" s="191" t="s">
        <v>167</v>
      </c>
      <c r="G64" s="183">
        <v>50110</v>
      </c>
      <c r="H64" s="185" t="s">
        <v>247</v>
      </c>
      <c r="I64" s="183" t="s">
        <v>127</v>
      </c>
      <c r="J64" s="183" t="s">
        <v>81</v>
      </c>
      <c r="K64" s="183">
        <v>0</v>
      </c>
      <c r="L64" s="186">
        <v>41640</v>
      </c>
      <c r="M64" s="183">
        <v>10</v>
      </c>
      <c r="N64" s="186">
        <v>45291</v>
      </c>
      <c r="O64" s="183">
        <v>0</v>
      </c>
      <c r="P64" s="200" t="s">
        <v>281</v>
      </c>
    </row>
    <row r="65" spans="1:16" ht="148.5" customHeight="1" thickBot="1" x14ac:dyDescent="0.25">
      <c r="A65" s="99" t="s">
        <v>154</v>
      </c>
      <c r="B65" s="91" t="s">
        <v>198</v>
      </c>
      <c r="C65" s="183" t="s">
        <v>44</v>
      </c>
      <c r="D65" s="184" t="s">
        <v>158</v>
      </c>
      <c r="E65" s="183" t="s">
        <v>335</v>
      </c>
      <c r="F65" s="191" t="s">
        <v>167</v>
      </c>
      <c r="G65" s="257">
        <v>50105</v>
      </c>
      <c r="H65" s="258" t="s">
        <v>236</v>
      </c>
      <c r="I65" s="257" t="s">
        <v>115</v>
      </c>
      <c r="J65" s="257" t="s">
        <v>110</v>
      </c>
      <c r="K65" s="257">
        <v>0</v>
      </c>
      <c r="L65" s="259">
        <v>42005</v>
      </c>
      <c r="M65" s="257">
        <v>0</v>
      </c>
      <c r="N65" s="259">
        <v>45291</v>
      </c>
      <c r="O65" s="257">
        <v>0</v>
      </c>
      <c r="P65" s="260" t="s">
        <v>343</v>
      </c>
    </row>
    <row r="66" spans="1:16" ht="146.25" customHeight="1" thickBot="1" x14ac:dyDescent="0.25">
      <c r="A66" s="99" t="s">
        <v>154</v>
      </c>
      <c r="B66" s="91" t="s">
        <v>198</v>
      </c>
      <c r="C66" s="183" t="s">
        <v>44</v>
      </c>
      <c r="D66" s="184" t="s">
        <v>158</v>
      </c>
      <c r="E66" s="183" t="s">
        <v>335</v>
      </c>
      <c r="F66" s="191" t="s">
        <v>167</v>
      </c>
      <c r="G66" s="183">
        <v>50100</v>
      </c>
      <c r="H66" s="185" t="s">
        <v>248</v>
      </c>
      <c r="I66" s="183" t="s">
        <v>339</v>
      </c>
      <c r="J66" s="183" t="s">
        <v>123</v>
      </c>
      <c r="K66" s="183">
        <v>0</v>
      </c>
      <c r="L66" s="186">
        <v>41640</v>
      </c>
      <c r="M66" s="183">
        <v>1</v>
      </c>
      <c r="N66" s="186">
        <v>45291</v>
      </c>
      <c r="O66" s="183">
        <v>0</v>
      </c>
      <c r="P66" s="200" t="s">
        <v>280</v>
      </c>
    </row>
    <row r="67" spans="1:16" ht="207" customHeight="1" thickBot="1" x14ac:dyDescent="0.25">
      <c r="A67" s="99" t="s">
        <v>154</v>
      </c>
      <c r="B67" s="91" t="s">
        <v>198</v>
      </c>
      <c r="C67" s="183" t="s">
        <v>44</v>
      </c>
      <c r="D67" s="184" t="s">
        <v>158</v>
      </c>
      <c r="E67" s="183" t="s">
        <v>335</v>
      </c>
      <c r="F67" s="191" t="s">
        <v>167</v>
      </c>
      <c r="G67" s="183">
        <v>50001</v>
      </c>
      <c r="H67" s="185" t="s">
        <v>249</v>
      </c>
      <c r="I67" s="183" t="s">
        <v>127</v>
      </c>
      <c r="J67" s="183" t="s">
        <v>110</v>
      </c>
      <c r="K67" s="183">
        <v>0</v>
      </c>
      <c r="L67" s="186">
        <v>41640</v>
      </c>
      <c r="M67" s="183">
        <v>52</v>
      </c>
      <c r="N67" s="186">
        <v>45291</v>
      </c>
      <c r="O67" s="183">
        <v>12</v>
      </c>
      <c r="P67" s="260" t="s">
        <v>342</v>
      </c>
    </row>
    <row r="68" spans="1:16" ht="126" customHeight="1" thickBot="1" x14ac:dyDescent="0.25">
      <c r="A68" s="99" t="s">
        <v>154</v>
      </c>
      <c r="B68" s="91" t="s">
        <v>198</v>
      </c>
      <c r="C68" s="183" t="s">
        <v>44</v>
      </c>
      <c r="D68" s="184" t="s">
        <v>158</v>
      </c>
      <c r="E68" s="183" t="s">
        <v>335</v>
      </c>
      <c r="F68" s="191" t="s">
        <v>167</v>
      </c>
      <c r="G68" s="183">
        <v>62000</v>
      </c>
      <c r="H68" s="185" t="s">
        <v>169</v>
      </c>
      <c r="I68" s="183" t="s">
        <v>159</v>
      </c>
      <c r="J68" s="183" t="s">
        <v>110</v>
      </c>
      <c r="K68" s="183">
        <v>0</v>
      </c>
      <c r="L68" s="186">
        <v>42005</v>
      </c>
      <c r="M68" s="183">
        <v>1</v>
      </c>
      <c r="N68" s="186">
        <v>45291</v>
      </c>
      <c r="O68" s="183">
        <v>0</v>
      </c>
      <c r="P68" s="200" t="s">
        <v>250</v>
      </c>
    </row>
    <row r="69" spans="1:16" ht="126" customHeight="1" thickBot="1" x14ac:dyDescent="0.25">
      <c r="A69" s="99" t="s">
        <v>154</v>
      </c>
      <c r="B69" s="91" t="s">
        <v>198</v>
      </c>
      <c r="C69" s="183" t="s">
        <v>44</v>
      </c>
      <c r="D69" s="184" t="s">
        <v>158</v>
      </c>
      <c r="E69" s="183" t="s">
        <v>335</v>
      </c>
      <c r="F69" s="191" t="s">
        <v>167</v>
      </c>
      <c r="G69" s="257">
        <v>62600</v>
      </c>
      <c r="H69" s="258" t="s">
        <v>224</v>
      </c>
      <c r="I69" s="257" t="s">
        <v>127</v>
      </c>
      <c r="J69" s="257" t="s">
        <v>123</v>
      </c>
      <c r="K69" s="257">
        <v>0</v>
      </c>
      <c r="L69" s="259">
        <v>42005</v>
      </c>
      <c r="M69" s="257">
        <v>0</v>
      </c>
      <c r="N69" s="259">
        <v>45291</v>
      </c>
      <c r="O69" s="257">
        <v>0</v>
      </c>
      <c r="P69" s="260" t="s">
        <v>344</v>
      </c>
    </row>
    <row r="70" spans="1:16" ht="126" customHeight="1" thickBot="1" x14ac:dyDescent="0.25">
      <c r="A70" s="99" t="s">
        <v>154</v>
      </c>
      <c r="B70" s="91" t="s">
        <v>198</v>
      </c>
      <c r="C70" s="183" t="s">
        <v>44</v>
      </c>
      <c r="D70" s="184" t="s">
        <v>158</v>
      </c>
      <c r="E70" s="183" t="s">
        <v>335</v>
      </c>
      <c r="F70" s="191" t="s">
        <v>167</v>
      </c>
      <c r="G70" s="257">
        <v>62700</v>
      </c>
      <c r="H70" s="258" t="s">
        <v>352</v>
      </c>
      <c r="I70" s="257" t="s">
        <v>127</v>
      </c>
      <c r="J70" s="257" t="s">
        <v>123</v>
      </c>
      <c r="K70" s="257">
        <v>0</v>
      </c>
      <c r="L70" s="259">
        <v>42005</v>
      </c>
      <c r="M70" s="257">
        <v>0</v>
      </c>
      <c r="N70" s="259">
        <v>45291</v>
      </c>
      <c r="O70" s="257">
        <v>0</v>
      </c>
      <c r="P70" s="260" t="s">
        <v>350</v>
      </c>
    </row>
    <row r="71" spans="1:16" ht="126" customHeight="1" thickBot="1" x14ac:dyDescent="0.25">
      <c r="A71" s="99" t="s">
        <v>154</v>
      </c>
      <c r="B71" s="91" t="s">
        <v>198</v>
      </c>
      <c r="C71" s="183" t="s">
        <v>44</v>
      </c>
      <c r="D71" s="184" t="s">
        <v>158</v>
      </c>
      <c r="E71" s="183" t="s">
        <v>335</v>
      </c>
      <c r="F71" s="191" t="s">
        <v>167</v>
      </c>
      <c r="G71" s="257">
        <v>62800</v>
      </c>
      <c r="H71" s="258" t="s">
        <v>346</v>
      </c>
      <c r="I71" s="257" t="s">
        <v>127</v>
      </c>
      <c r="J71" s="257" t="s">
        <v>123</v>
      </c>
      <c r="K71" s="257">
        <v>0</v>
      </c>
      <c r="L71" s="259">
        <v>42005</v>
      </c>
      <c r="M71" s="257">
        <v>0</v>
      </c>
      <c r="N71" s="259">
        <v>45291</v>
      </c>
      <c r="O71" s="257">
        <v>0</v>
      </c>
      <c r="P71" s="260" t="s">
        <v>345</v>
      </c>
    </row>
    <row r="72" spans="1:16" ht="126" customHeight="1" thickBot="1" x14ac:dyDescent="0.25">
      <c r="A72" s="99" t="s">
        <v>154</v>
      </c>
      <c r="B72" s="91" t="s">
        <v>198</v>
      </c>
      <c r="C72" s="183" t="s">
        <v>44</v>
      </c>
      <c r="D72" s="184" t="s">
        <v>158</v>
      </c>
      <c r="E72" s="183" t="s">
        <v>335</v>
      </c>
      <c r="F72" s="191" t="s">
        <v>167</v>
      </c>
      <c r="G72" s="257">
        <v>62900</v>
      </c>
      <c r="H72" s="258" t="s">
        <v>349</v>
      </c>
      <c r="I72" s="257" t="s">
        <v>127</v>
      </c>
      <c r="J72" s="257" t="s">
        <v>123</v>
      </c>
      <c r="K72" s="257">
        <v>0</v>
      </c>
      <c r="L72" s="259">
        <v>42005</v>
      </c>
      <c r="M72" s="257">
        <v>0</v>
      </c>
      <c r="N72" s="259">
        <v>45291</v>
      </c>
      <c r="O72" s="257">
        <v>0</v>
      </c>
      <c r="P72" s="260" t="s">
        <v>350</v>
      </c>
    </row>
    <row r="73" spans="1:16" ht="126" customHeight="1" thickBot="1" x14ac:dyDescent="0.25">
      <c r="A73" s="99" t="s">
        <v>154</v>
      </c>
      <c r="B73" s="91" t="s">
        <v>198</v>
      </c>
      <c r="C73" s="183" t="s">
        <v>44</v>
      </c>
      <c r="D73" s="184" t="s">
        <v>158</v>
      </c>
      <c r="E73" s="183" t="s">
        <v>335</v>
      </c>
      <c r="F73" s="191" t="s">
        <v>167</v>
      </c>
      <c r="G73" s="257">
        <v>63200</v>
      </c>
      <c r="H73" s="258" t="s">
        <v>351</v>
      </c>
      <c r="I73" s="257" t="s">
        <v>127</v>
      </c>
      <c r="J73" s="257" t="s">
        <v>123</v>
      </c>
      <c r="K73" s="257">
        <v>0</v>
      </c>
      <c r="L73" s="259">
        <v>42005</v>
      </c>
      <c r="M73" s="257">
        <v>0</v>
      </c>
      <c r="N73" s="259">
        <v>45291</v>
      </c>
      <c r="O73" s="257">
        <v>0</v>
      </c>
      <c r="P73" s="260" t="s">
        <v>350</v>
      </c>
    </row>
    <row r="74" spans="1:16" ht="126" customHeight="1" thickBot="1" x14ac:dyDescent="0.25">
      <c r="A74" s="99" t="s">
        <v>154</v>
      </c>
      <c r="B74" s="91" t="s">
        <v>198</v>
      </c>
      <c r="C74" s="183" t="s">
        <v>44</v>
      </c>
      <c r="D74" s="184" t="s">
        <v>158</v>
      </c>
      <c r="E74" s="183" t="s">
        <v>335</v>
      </c>
      <c r="F74" s="191" t="s">
        <v>167</v>
      </c>
      <c r="G74" s="257">
        <v>80500</v>
      </c>
      <c r="H74" s="258" t="s">
        <v>340</v>
      </c>
      <c r="I74" s="257" t="s">
        <v>341</v>
      </c>
      <c r="J74" s="257" t="s">
        <v>67</v>
      </c>
      <c r="K74" s="257">
        <v>0</v>
      </c>
      <c r="L74" s="259">
        <v>42005</v>
      </c>
      <c r="M74" s="257">
        <v>0</v>
      </c>
      <c r="N74" s="259">
        <v>45291</v>
      </c>
      <c r="O74" s="257">
        <v>0</v>
      </c>
      <c r="P74" s="260" t="s">
        <v>347</v>
      </c>
    </row>
    <row r="75" spans="1:16" ht="134.25" customHeight="1" thickBot="1" x14ac:dyDescent="0.25">
      <c r="A75" s="99" t="s">
        <v>172</v>
      </c>
      <c r="B75" s="101" t="s">
        <v>197</v>
      </c>
      <c r="C75" s="183" t="s">
        <v>44</v>
      </c>
      <c r="D75" s="184" t="s">
        <v>158</v>
      </c>
      <c r="E75" s="183" t="s">
        <v>335</v>
      </c>
      <c r="F75" s="191" t="s">
        <v>166</v>
      </c>
      <c r="G75" s="183">
        <v>60000</v>
      </c>
      <c r="H75" s="185" t="s">
        <v>155</v>
      </c>
      <c r="I75" s="183" t="s">
        <v>127</v>
      </c>
      <c r="J75" s="183" t="s">
        <v>110</v>
      </c>
      <c r="K75" s="183">
        <v>0</v>
      </c>
      <c r="L75" s="186">
        <v>42005</v>
      </c>
      <c r="M75" s="183">
        <v>6</v>
      </c>
      <c r="N75" s="186">
        <v>45291</v>
      </c>
      <c r="O75" s="183">
        <v>0</v>
      </c>
      <c r="P75" s="200" t="s">
        <v>277</v>
      </c>
    </row>
    <row r="76" spans="1:16" ht="90.75" customHeight="1" thickBot="1" x14ac:dyDescent="0.25">
      <c r="A76" s="99" t="s">
        <v>172</v>
      </c>
      <c r="B76" s="101" t="s">
        <v>197</v>
      </c>
      <c r="C76" s="183" t="s">
        <v>44</v>
      </c>
      <c r="D76" s="184" t="s">
        <v>158</v>
      </c>
      <c r="E76" s="183" t="s">
        <v>335</v>
      </c>
      <c r="F76" s="191" t="s">
        <v>166</v>
      </c>
      <c r="G76" s="183">
        <v>10213</v>
      </c>
      <c r="H76" s="185" t="s">
        <v>171</v>
      </c>
      <c r="I76" s="183" t="s">
        <v>170</v>
      </c>
      <c r="J76" s="183" t="s">
        <v>110</v>
      </c>
      <c r="K76" s="183">
        <v>0</v>
      </c>
      <c r="L76" s="186">
        <v>42005</v>
      </c>
      <c r="M76" s="183">
        <v>1</v>
      </c>
      <c r="N76" s="186">
        <v>45291</v>
      </c>
      <c r="O76" s="183">
        <v>0</v>
      </c>
      <c r="P76" s="200" t="s">
        <v>251</v>
      </c>
    </row>
    <row r="77" spans="1:16" ht="99" customHeight="1" thickBot="1" x14ac:dyDescent="0.25">
      <c r="A77" s="99" t="s">
        <v>172</v>
      </c>
      <c r="B77" s="101" t="s">
        <v>197</v>
      </c>
      <c r="C77" s="183" t="s">
        <v>44</v>
      </c>
      <c r="D77" s="184" t="s">
        <v>158</v>
      </c>
      <c r="E77" s="183" t="s">
        <v>335</v>
      </c>
      <c r="F77" s="191" t="s">
        <v>166</v>
      </c>
      <c r="G77" s="183">
        <v>10212</v>
      </c>
      <c r="H77" s="185" t="s">
        <v>252</v>
      </c>
      <c r="I77" s="183" t="s">
        <v>170</v>
      </c>
      <c r="J77" s="183" t="s">
        <v>110</v>
      </c>
      <c r="K77" s="183">
        <v>0</v>
      </c>
      <c r="L77" s="186">
        <v>42005</v>
      </c>
      <c r="M77" s="183">
        <v>1</v>
      </c>
      <c r="N77" s="186">
        <v>45291</v>
      </c>
      <c r="O77" s="183">
        <v>0</v>
      </c>
      <c r="P77" s="200" t="s">
        <v>253</v>
      </c>
    </row>
    <row r="78" spans="1:16" ht="107.25" customHeight="1" thickBot="1" x14ac:dyDescent="0.25">
      <c r="A78" s="99" t="s">
        <v>172</v>
      </c>
      <c r="B78" s="101" t="s">
        <v>197</v>
      </c>
      <c r="C78" s="183" t="s">
        <v>44</v>
      </c>
      <c r="D78" s="184" t="s">
        <v>158</v>
      </c>
      <c r="E78" s="183" t="s">
        <v>335</v>
      </c>
      <c r="F78" s="191" t="s">
        <v>157</v>
      </c>
      <c r="G78" s="183">
        <v>62600</v>
      </c>
      <c r="H78" s="185" t="s">
        <v>224</v>
      </c>
      <c r="I78" s="183" t="s">
        <v>127</v>
      </c>
      <c r="J78" s="183" t="s">
        <v>81</v>
      </c>
      <c r="K78" s="183">
        <v>0</v>
      </c>
      <c r="L78" s="186">
        <v>42005</v>
      </c>
      <c r="M78" s="183">
        <v>2</v>
      </c>
      <c r="N78" s="186">
        <v>45291</v>
      </c>
      <c r="O78" s="183">
        <v>0</v>
      </c>
      <c r="P78" s="200" t="s">
        <v>254</v>
      </c>
    </row>
    <row r="79" spans="1:16" ht="108" customHeight="1" thickBot="1" x14ac:dyDescent="0.25">
      <c r="A79" s="99" t="s">
        <v>172</v>
      </c>
      <c r="B79" s="101" t="s">
        <v>197</v>
      </c>
      <c r="C79" s="183" t="s">
        <v>44</v>
      </c>
      <c r="D79" s="184" t="s">
        <v>158</v>
      </c>
      <c r="E79" s="183" t="s">
        <v>335</v>
      </c>
      <c r="F79" s="191" t="s">
        <v>157</v>
      </c>
      <c r="G79" s="183">
        <v>62700</v>
      </c>
      <c r="H79" s="185" t="s">
        <v>226</v>
      </c>
      <c r="I79" s="183" t="s">
        <v>127</v>
      </c>
      <c r="J79" s="183" t="s">
        <v>81</v>
      </c>
      <c r="K79" s="183">
        <v>0</v>
      </c>
      <c r="L79" s="186">
        <v>42005</v>
      </c>
      <c r="M79" s="183">
        <v>2</v>
      </c>
      <c r="N79" s="186">
        <v>45291</v>
      </c>
      <c r="O79" s="183">
        <v>0</v>
      </c>
      <c r="P79" s="199" t="s">
        <v>255</v>
      </c>
    </row>
    <row r="80" spans="1:16" ht="140.25" customHeight="1" thickBot="1" x14ac:dyDescent="0.25">
      <c r="A80" s="99" t="s">
        <v>172</v>
      </c>
      <c r="B80" s="101" t="s">
        <v>197</v>
      </c>
      <c r="C80" s="183" t="s">
        <v>44</v>
      </c>
      <c r="D80" s="184" t="s">
        <v>158</v>
      </c>
      <c r="E80" s="256" t="s">
        <v>335</v>
      </c>
      <c r="F80" s="191" t="s">
        <v>157</v>
      </c>
      <c r="G80" s="183">
        <v>62800</v>
      </c>
      <c r="H80" s="185" t="s">
        <v>256</v>
      </c>
      <c r="I80" s="183" t="s">
        <v>127</v>
      </c>
      <c r="J80" s="183" t="s">
        <v>81</v>
      </c>
      <c r="K80" s="183">
        <v>0</v>
      </c>
      <c r="L80" s="186">
        <v>42005</v>
      </c>
      <c r="M80" s="79">
        <v>2</v>
      </c>
      <c r="N80" s="186">
        <v>45291</v>
      </c>
      <c r="O80" s="183">
        <v>0</v>
      </c>
      <c r="P80" s="199" t="s">
        <v>257</v>
      </c>
    </row>
    <row r="81" spans="1:16" ht="96" customHeight="1" thickBot="1" x14ac:dyDescent="0.25">
      <c r="A81" s="99" t="s">
        <v>172</v>
      </c>
      <c r="B81" s="101" t="s">
        <v>197</v>
      </c>
      <c r="C81" s="183" t="s">
        <v>44</v>
      </c>
      <c r="D81" s="184" t="s">
        <v>158</v>
      </c>
      <c r="E81" s="183" t="s">
        <v>335</v>
      </c>
      <c r="F81" s="191" t="s">
        <v>157</v>
      </c>
      <c r="G81" s="183">
        <v>62900</v>
      </c>
      <c r="H81" s="185" t="s">
        <v>230</v>
      </c>
      <c r="I81" s="183" t="s">
        <v>127</v>
      </c>
      <c r="J81" s="183" t="s">
        <v>81</v>
      </c>
      <c r="K81" s="183">
        <v>0</v>
      </c>
      <c r="L81" s="186">
        <v>42005</v>
      </c>
      <c r="M81" s="79">
        <v>2</v>
      </c>
      <c r="N81" s="186">
        <v>45291</v>
      </c>
      <c r="O81" s="183">
        <v>0</v>
      </c>
      <c r="P81" s="199" t="s">
        <v>258</v>
      </c>
    </row>
    <row r="82" spans="1:16" ht="108" customHeight="1" thickBot="1" x14ac:dyDescent="0.25">
      <c r="A82" s="99" t="s">
        <v>172</v>
      </c>
      <c r="B82" s="101" t="s">
        <v>197</v>
      </c>
      <c r="C82" s="183" t="s">
        <v>44</v>
      </c>
      <c r="D82" s="184" t="s">
        <v>158</v>
      </c>
      <c r="E82" s="183" t="s">
        <v>335</v>
      </c>
      <c r="F82" s="191" t="s">
        <v>157</v>
      </c>
      <c r="G82" s="183">
        <v>63100</v>
      </c>
      <c r="H82" s="185" t="s">
        <v>232</v>
      </c>
      <c r="I82" s="183" t="s">
        <v>127</v>
      </c>
      <c r="J82" s="183" t="s">
        <v>81</v>
      </c>
      <c r="K82" s="183">
        <v>0</v>
      </c>
      <c r="L82" s="186">
        <v>42005</v>
      </c>
      <c r="M82" s="79">
        <v>0</v>
      </c>
      <c r="N82" s="186">
        <v>45291</v>
      </c>
      <c r="O82" s="183">
        <v>0</v>
      </c>
      <c r="P82" s="199" t="s">
        <v>259</v>
      </c>
    </row>
    <row r="83" spans="1:16" ht="96" customHeight="1" thickBot="1" x14ac:dyDescent="0.25">
      <c r="A83" s="99" t="s">
        <v>172</v>
      </c>
      <c r="B83" s="101" t="s">
        <v>197</v>
      </c>
      <c r="C83" s="183" t="s">
        <v>44</v>
      </c>
      <c r="D83" s="184" t="s">
        <v>158</v>
      </c>
      <c r="E83" s="183" t="s">
        <v>335</v>
      </c>
      <c r="F83" s="191" t="s">
        <v>157</v>
      </c>
      <c r="G83" s="183">
        <v>63200</v>
      </c>
      <c r="H83" s="185" t="s">
        <v>234</v>
      </c>
      <c r="I83" s="183" t="s">
        <v>127</v>
      </c>
      <c r="J83" s="183" t="s">
        <v>81</v>
      </c>
      <c r="K83" s="183">
        <v>0</v>
      </c>
      <c r="L83" s="186">
        <v>42005</v>
      </c>
      <c r="M83" s="79">
        <v>1</v>
      </c>
      <c r="N83" s="186">
        <v>45291</v>
      </c>
      <c r="O83" s="183">
        <v>0</v>
      </c>
      <c r="P83" s="199" t="s">
        <v>260</v>
      </c>
    </row>
    <row r="84" spans="1:16" ht="105" customHeight="1" thickBot="1" x14ac:dyDescent="0.25">
      <c r="A84" s="99" t="s">
        <v>172</v>
      </c>
      <c r="B84" s="101" t="s">
        <v>197</v>
      </c>
      <c r="C84" s="183" t="s">
        <v>44</v>
      </c>
      <c r="D84" s="184" t="s">
        <v>158</v>
      </c>
      <c r="E84" s="183" t="s">
        <v>335</v>
      </c>
      <c r="F84" s="191" t="s">
        <v>157</v>
      </c>
      <c r="G84" s="183">
        <v>62200</v>
      </c>
      <c r="H84" s="185" t="s">
        <v>156</v>
      </c>
      <c r="I84" s="183" t="s">
        <v>159</v>
      </c>
      <c r="J84" s="183" t="s">
        <v>110</v>
      </c>
      <c r="K84" s="183">
        <v>0</v>
      </c>
      <c r="L84" s="186">
        <v>42005</v>
      </c>
      <c r="M84" s="183">
        <v>1</v>
      </c>
      <c r="N84" s="186">
        <v>45291</v>
      </c>
      <c r="O84" s="183">
        <v>0</v>
      </c>
      <c r="P84" s="200" t="s">
        <v>261</v>
      </c>
    </row>
    <row r="85" spans="1:16" ht="116.25" customHeight="1" thickBot="1" x14ac:dyDescent="0.25">
      <c r="A85" s="99" t="s">
        <v>172</v>
      </c>
      <c r="B85" s="101" t="s">
        <v>197</v>
      </c>
      <c r="C85" s="183" t="s">
        <v>44</v>
      </c>
      <c r="D85" s="184" t="s">
        <v>158</v>
      </c>
      <c r="E85" s="183" t="s">
        <v>335</v>
      </c>
      <c r="F85" s="191" t="s">
        <v>167</v>
      </c>
      <c r="G85" s="183">
        <v>62000</v>
      </c>
      <c r="H85" s="185" t="s">
        <v>169</v>
      </c>
      <c r="I85" s="183" t="s">
        <v>159</v>
      </c>
      <c r="J85" s="183" t="s">
        <v>110</v>
      </c>
      <c r="K85" s="183">
        <v>0</v>
      </c>
      <c r="L85" s="186">
        <v>42005</v>
      </c>
      <c r="M85" s="183">
        <v>1</v>
      </c>
      <c r="N85" s="186">
        <v>45291</v>
      </c>
      <c r="O85" s="183">
        <v>0</v>
      </c>
      <c r="P85" s="200" t="s">
        <v>262</v>
      </c>
    </row>
    <row r="86" spans="1:16" ht="13.5" thickBot="1" x14ac:dyDescent="0.25">
      <c r="A86" s="331"/>
      <c r="B86" s="332"/>
      <c r="C86" s="332"/>
      <c r="D86" s="332"/>
      <c r="E86" s="332"/>
      <c r="F86" s="332"/>
      <c r="G86" s="332"/>
      <c r="H86" s="332"/>
      <c r="I86" s="332"/>
      <c r="J86" s="332"/>
      <c r="K86" s="332"/>
      <c r="L86" s="332"/>
      <c r="M86" s="332"/>
      <c r="N86" s="332"/>
      <c r="O86" s="332"/>
      <c r="P86" s="332"/>
    </row>
  </sheetData>
  <mergeCells count="22">
    <mergeCell ref="A1:P1"/>
    <mergeCell ref="A2:A5"/>
    <mergeCell ref="B2:B5"/>
    <mergeCell ref="C2:F2"/>
    <mergeCell ref="G2:J2"/>
    <mergeCell ref="K2:O2"/>
    <mergeCell ref="P2:P5"/>
    <mergeCell ref="C3:C5"/>
    <mergeCell ref="F3:F5"/>
    <mergeCell ref="G3:G5"/>
    <mergeCell ref="N3:N5"/>
    <mergeCell ref="O3:O5"/>
    <mergeCell ref="D4:D5"/>
    <mergeCell ref="E4:E5"/>
    <mergeCell ref="M3:M5"/>
    <mergeCell ref="H3:H5"/>
    <mergeCell ref="A86:P86"/>
    <mergeCell ref="I3:I5"/>
    <mergeCell ref="J3:J5"/>
    <mergeCell ref="K3:K5"/>
    <mergeCell ref="L3:L5"/>
    <mergeCell ref="G43:O43"/>
  </mergeCells>
  <pageMargins left="0.7" right="0.7" top="0.78740157499999996" bottom="0.78740157499999996" header="0.3" footer="0.3"/>
  <pageSetup paperSize="9" scale="42" fitToHeight="0" orientation="landscape" r:id="rId1"/>
  <rowBreaks count="5" manualBreakCount="5">
    <brk id="11" max="16383" man="1"/>
    <brk id="18" max="16383" man="1"/>
    <brk id="31" max="16383" man="1"/>
    <brk id="43" max="16383" man="1"/>
    <brk id="4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5" zoomScale="80" zoomScaleNormal="80" zoomScaleSheetLayoutView="90" workbookViewId="0">
      <selection activeCell="E8" sqref="E8"/>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7" max="17" width="17.42578125" customWidth="1"/>
    <col min="18" max="18" width="16.28515625" customWidth="1"/>
  </cols>
  <sheetData>
    <row r="1" spans="1:18" ht="42.75" customHeight="1" thickBot="1" x14ac:dyDescent="0.3">
      <c r="A1" s="327" t="s">
        <v>296</v>
      </c>
      <c r="B1" s="328"/>
      <c r="C1" s="328"/>
      <c r="D1" s="328"/>
      <c r="E1" s="328"/>
      <c r="F1" s="328"/>
      <c r="G1" s="328"/>
      <c r="H1" s="328"/>
      <c r="I1" s="328"/>
      <c r="J1" s="328"/>
      <c r="K1" s="328"/>
      <c r="L1" s="328"/>
      <c r="M1" s="328"/>
      <c r="N1" s="354" t="s">
        <v>297</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0</v>
      </c>
      <c r="Q3" s="30">
        <f>J15+J16+J17+J18+J19+J20</f>
        <v>0</v>
      </c>
      <c r="R3" s="31">
        <f>P3+Q3</f>
        <v>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0</v>
      </c>
      <c r="Q5" s="35">
        <f>Q3+Q4</f>
        <v>0</v>
      </c>
      <c r="R5" s="36">
        <f>R3+R4</f>
        <v>0</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174</v>
      </c>
      <c r="B10" s="329"/>
      <c r="C10" s="329"/>
      <c r="D10" s="329"/>
      <c r="E10" s="329"/>
      <c r="F10" s="329"/>
      <c r="G10" s="329"/>
      <c r="H10" s="329"/>
      <c r="I10" s="329"/>
      <c r="J10" s="329"/>
      <c r="K10" s="329"/>
      <c r="L10" s="329"/>
      <c r="M10" s="329"/>
      <c r="N10" s="14" t="s">
        <v>29</v>
      </c>
      <c r="O10" s="15" t="s">
        <v>0</v>
      </c>
      <c r="P10" s="37">
        <f>P5+P7+P9</f>
        <v>0</v>
      </c>
      <c r="Q10" s="37">
        <f>Q5+Q7+Q9</f>
        <v>0</v>
      </c>
      <c r="R10" s="38">
        <f>R5+R7+R9</f>
        <v>0</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2" customHeight="1" thickBot="1" x14ac:dyDescent="0.3">
      <c r="A15" s="65" t="s">
        <v>64</v>
      </c>
      <c r="B15" s="66" t="s">
        <v>63</v>
      </c>
      <c r="C15" s="66" t="s">
        <v>43</v>
      </c>
      <c r="D15" s="132" t="s">
        <v>21</v>
      </c>
      <c r="E15" s="102">
        <v>4</v>
      </c>
      <c r="F15" s="132" t="s">
        <v>200</v>
      </c>
      <c r="G15" s="133" t="s">
        <v>201</v>
      </c>
      <c r="H15" s="105">
        <f>I15+J15+K15+L15</f>
        <v>0</v>
      </c>
      <c r="I15" s="105">
        <f t="shared" ref="I15:I20" si="0">0.85*O15</f>
        <v>0</v>
      </c>
      <c r="J15" s="105">
        <f t="shared" ref="J15:J20" si="1">0.15*O15</f>
        <v>0</v>
      </c>
      <c r="K15" s="105">
        <f>((I15+J15)/95)*5</f>
        <v>0</v>
      </c>
      <c r="L15" s="105">
        <v>0</v>
      </c>
      <c r="M15" s="106">
        <v>0</v>
      </c>
      <c r="N15" s="42"/>
      <c r="O15" s="52">
        <v>0</v>
      </c>
      <c r="P15" s="42"/>
      <c r="Q15" s="42"/>
      <c r="R15" s="53"/>
    </row>
    <row r="16" spans="1:18" ht="43.5" customHeight="1" thickBot="1" x14ac:dyDescent="0.3">
      <c r="A16" s="18" t="s">
        <v>84</v>
      </c>
      <c r="B16" s="19" t="s">
        <v>185</v>
      </c>
      <c r="C16" s="19" t="s">
        <v>43</v>
      </c>
      <c r="D16" s="134" t="s">
        <v>21</v>
      </c>
      <c r="E16" s="107">
        <v>4</v>
      </c>
      <c r="F16" s="134" t="s">
        <v>200</v>
      </c>
      <c r="G16" s="135" t="s">
        <v>201</v>
      </c>
      <c r="H16" s="110">
        <f>I16+J16+K16+L16</f>
        <v>0</v>
      </c>
      <c r="I16" s="110">
        <f t="shared" si="0"/>
        <v>0</v>
      </c>
      <c r="J16" s="110">
        <f t="shared" si="1"/>
        <v>0</v>
      </c>
      <c r="K16" s="110">
        <f>((I16+J16)/95)*5</f>
        <v>0</v>
      </c>
      <c r="L16" s="110">
        <v>0</v>
      </c>
      <c r="M16" s="111">
        <v>0</v>
      </c>
      <c r="N16" s="44"/>
      <c r="O16" s="54">
        <v>0</v>
      </c>
      <c r="P16" s="44"/>
      <c r="Q16" s="44"/>
      <c r="R16" s="55"/>
    </row>
    <row r="17" spans="1:18" ht="42" customHeight="1" thickBot="1" x14ac:dyDescent="0.3">
      <c r="A17" s="18" t="s">
        <v>91</v>
      </c>
      <c r="B17" s="19" t="s">
        <v>184</v>
      </c>
      <c r="C17" s="19" t="s">
        <v>43</v>
      </c>
      <c r="D17" s="134" t="s">
        <v>21</v>
      </c>
      <c r="E17" s="107">
        <v>4</v>
      </c>
      <c r="F17" s="134" t="s">
        <v>200</v>
      </c>
      <c r="G17" s="135" t="s">
        <v>201</v>
      </c>
      <c r="H17" s="110">
        <f t="shared" ref="H17:H29" si="2">I17+J17+K17+L17</f>
        <v>0</v>
      </c>
      <c r="I17" s="110">
        <f t="shared" si="0"/>
        <v>0</v>
      </c>
      <c r="J17" s="110">
        <f t="shared" si="1"/>
        <v>0</v>
      </c>
      <c r="K17" s="110">
        <f>((I17+J17)/95)*5</f>
        <v>0</v>
      </c>
      <c r="L17" s="110">
        <v>0</v>
      </c>
      <c r="M17" s="111">
        <v>0</v>
      </c>
      <c r="N17" s="44"/>
      <c r="O17" s="54">
        <v>0</v>
      </c>
      <c r="P17" s="44"/>
      <c r="Q17" s="44"/>
      <c r="R17" s="55"/>
    </row>
    <row r="18" spans="1:18" ht="51" customHeight="1" thickBot="1" x14ac:dyDescent="0.3">
      <c r="A18" s="18" t="s">
        <v>106</v>
      </c>
      <c r="B18" s="19" t="s">
        <v>186</v>
      </c>
      <c r="C18" s="19" t="s">
        <v>43</v>
      </c>
      <c r="D18" s="134" t="s">
        <v>21</v>
      </c>
      <c r="E18" s="107">
        <v>4</v>
      </c>
      <c r="F18" s="134" t="s">
        <v>200</v>
      </c>
      <c r="G18" s="135" t="s">
        <v>201</v>
      </c>
      <c r="H18" s="110">
        <f t="shared" si="2"/>
        <v>0</v>
      </c>
      <c r="I18" s="110">
        <f t="shared" si="0"/>
        <v>0</v>
      </c>
      <c r="J18" s="110">
        <f t="shared" si="1"/>
        <v>0</v>
      </c>
      <c r="K18" s="110">
        <v>0</v>
      </c>
      <c r="L18" s="110">
        <f>((I18+J18)/95)*5</f>
        <v>0</v>
      </c>
      <c r="M18" s="111">
        <v>0</v>
      </c>
      <c r="N18" s="44"/>
      <c r="O18" s="54">
        <v>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2"/>
        <v>0</v>
      </c>
      <c r="I19" s="110">
        <f t="shared" si="0"/>
        <v>0</v>
      </c>
      <c r="J19" s="110">
        <f t="shared" si="1"/>
        <v>0</v>
      </c>
      <c r="K19" s="110">
        <f>(((I19+J19)/95)*5)/10*9</f>
        <v>0</v>
      </c>
      <c r="L19" s="110">
        <f>(((I19+J19)/95)*5)/10</f>
        <v>0</v>
      </c>
      <c r="M19" s="111">
        <v>0</v>
      </c>
      <c r="N19" s="44"/>
      <c r="O19" s="54">
        <v>0</v>
      </c>
      <c r="P19" s="44"/>
      <c r="Q19" s="44"/>
      <c r="R19" s="55"/>
    </row>
    <row r="20" spans="1:18" ht="39" customHeight="1" thickBot="1" x14ac:dyDescent="0.3">
      <c r="A20" s="26" t="s">
        <v>135</v>
      </c>
      <c r="B20" s="27" t="s">
        <v>188</v>
      </c>
      <c r="C20" s="27" t="s">
        <v>43</v>
      </c>
      <c r="D20" s="136" t="s">
        <v>21</v>
      </c>
      <c r="E20" s="137">
        <v>4</v>
      </c>
      <c r="F20" s="136" t="s">
        <v>200</v>
      </c>
      <c r="G20" s="138" t="s">
        <v>201</v>
      </c>
      <c r="H20" s="139">
        <f t="shared" si="2"/>
        <v>0</v>
      </c>
      <c r="I20" s="139">
        <f t="shared" si="0"/>
        <v>0</v>
      </c>
      <c r="J20" s="139">
        <f t="shared" si="1"/>
        <v>0</v>
      </c>
      <c r="K20" s="139">
        <f>(((I20+J20)/95)*5)</f>
        <v>0</v>
      </c>
      <c r="L20" s="139">
        <v>0</v>
      </c>
      <c r="M20" s="140">
        <v>0</v>
      </c>
      <c r="N20" s="46"/>
      <c r="O20" s="56">
        <v>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2"/>
        <v>0</v>
      </c>
      <c r="I21" s="105">
        <f t="shared" ref="I21:I29" si="3">0.75*O21</f>
        <v>0</v>
      </c>
      <c r="J21" s="105">
        <f t="shared" ref="J21:J29" si="4">0.25*O21</f>
        <v>0</v>
      </c>
      <c r="K21" s="105">
        <v>0</v>
      </c>
      <c r="L21" s="105">
        <f t="shared" ref="L21:L29" si="5">((I21+J21)/(100-P21))*P21</f>
        <v>0</v>
      </c>
      <c r="M21" s="106">
        <v>0</v>
      </c>
      <c r="N21" s="42"/>
      <c r="O21" s="52">
        <v>0</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2"/>
        <v>0</v>
      </c>
      <c r="I22" s="110">
        <f t="shared" si="3"/>
        <v>0</v>
      </c>
      <c r="J22" s="110">
        <f t="shared" si="4"/>
        <v>0</v>
      </c>
      <c r="K22" s="110">
        <v>0</v>
      </c>
      <c r="L22" s="110">
        <f t="shared" si="5"/>
        <v>0</v>
      </c>
      <c r="M22" s="111">
        <v>0</v>
      </c>
      <c r="N22" s="44"/>
      <c r="O22" s="54">
        <v>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2"/>
        <v>0</v>
      </c>
      <c r="I23" s="110">
        <f t="shared" si="3"/>
        <v>0</v>
      </c>
      <c r="J23" s="110">
        <f t="shared" si="4"/>
        <v>0</v>
      </c>
      <c r="K23" s="110">
        <v>0</v>
      </c>
      <c r="L23" s="110">
        <f t="shared" si="5"/>
        <v>0</v>
      </c>
      <c r="M23" s="111">
        <v>0</v>
      </c>
      <c r="N23" s="44"/>
      <c r="O23" s="54">
        <v>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2"/>
        <v>0</v>
      </c>
      <c r="I24" s="110">
        <f t="shared" si="3"/>
        <v>0</v>
      </c>
      <c r="J24" s="110">
        <f t="shared" si="4"/>
        <v>0</v>
      </c>
      <c r="K24" s="110">
        <v>0</v>
      </c>
      <c r="L24" s="110">
        <f t="shared" si="5"/>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2"/>
        <v>0</v>
      </c>
      <c r="I25" s="139">
        <f t="shared" si="3"/>
        <v>0</v>
      </c>
      <c r="J25" s="139">
        <f t="shared" si="4"/>
        <v>0</v>
      </c>
      <c r="K25" s="139">
        <v>0</v>
      </c>
      <c r="L25" s="139">
        <f t="shared" si="5"/>
        <v>0</v>
      </c>
      <c r="M25" s="140">
        <v>0</v>
      </c>
      <c r="N25" s="46"/>
      <c r="O25" s="56">
        <v>0</v>
      </c>
      <c r="P25" s="63">
        <v>20</v>
      </c>
      <c r="Q25" s="64"/>
      <c r="R25" s="58"/>
    </row>
    <row r="26" spans="1:18" ht="54" customHeight="1" thickBot="1" x14ac:dyDescent="0.3">
      <c r="A26" s="65" t="s">
        <v>154</v>
      </c>
      <c r="B26" s="66" t="s">
        <v>194</v>
      </c>
      <c r="C26" s="66" t="s">
        <v>43</v>
      </c>
      <c r="D26" s="132" t="s">
        <v>44</v>
      </c>
      <c r="E26" s="117" t="s">
        <v>47</v>
      </c>
      <c r="F26" s="102">
        <v>3</v>
      </c>
      <c r="G26" s="141" t="s">
        <v>205</v>
      </c>
      <c r="H26" s="105">
        <f t="shared" si="2"/>
        <v>0</v>
      </c>
      <c r="I26" s="105">
        <f t="shared" si="3"/>
        <v>0</v>
      </c>
      <c r="J26" s="105">
        <f t="shared" si="4"/>
        <v>0</v>
      </c>
      <c r="K26" s="105">
        <v>0</v>
      </c>
      <c r="L26" s="105">
        <f t="shared" si="5"/>
        <v>0</v>
      </c>
      <c r="M26" s="106">
        <v>0</v>
      </c>
      <c r="N26" s="42"/>
      <c r="O26" s="52">
        <v>0</v>
      </c>
      <c r="P26" s="59">
        <v>0</v>
      </c>
      <c r="Q26" s="68" t="s">
        <v>45</v>
      </c>
      <c r="R26" s="53"/>
    </row>
    <row r="27" spans="1:18" ht="84" customHeight="1" thickBot="1" x14ac:dyDescent="0.3">
      <c r="A27" s="18" t="s">
        <v>91</v>
      </c>
      <c r="B27" s="19" t="s">
        <v>195</v>
      </c>
      <c r="C27" s="19" t="s">
        <v>43</v>
      </c>
      <c r="D27" s="134" t="s">
        <v>44</v>
      </c>
      <c r="E27" s="119">
        <v>2</v>
      </c>
      <c r="F27" s="107">
        <v>3</v>
      </c>
      <c r="G27" s="138" t="s">
        <v>48</v>
      </c>
      <c r="H27" s="110">
        <f t="shared" si="2"/>
        <v>0</v>
      </c>
      <c r="I27" s="110">
        <f t="shared" si="3"/>
        <v>0</v>
      </c>
      <c r="J27" s="110">
        <f t="shared" si="4"/>
        <v>0</v>
      </c>
      <c r="K27" s="110">
        <v>0</v>
      </c>
      <c r="L27" s="110">
        <f t="shared" si="5"/>
        <v>0</v>
      </c>
      <c r="M27" s="111">
        <v>0</v>
      </c>
      <c r="N27" s="44"/>
      <c r="O27" s="54">
        <v>0</v>
      </c>
      <c r="P27" s="61">
        <v>0</v>
      </c>
      <c r="Q27" s="69" t="s">
        <v>199</v>
      </c>
      <c r="R27" s="55"/>
    </row>
    <row r="28" spans="1:18" ht="51" customHeight="1" thickBot="1" x14ac:dyDescent="0.3">
      <c r="A28" s="18" t="s">
        <v>154</v>
      </c>
      <c r="B28" s="19" t="s">
        <v>196</v>
      </c>
      <c r="C28" s="19" t="s">
        <v>43</v>
      </c>
      <c r="D28" s="134" t="s">
        <v>44</v>
      </c>
      <c r="E28" s="119" t="s">
        <v>47</v>
      </c>
      <c r="F28" s="107">
        <v>3</v>
      </c>
      <c r="G28" s="138" t="s">
        <v>48</v>
      </c>
      <c r="H28" s="110">
        <f t="shared" si="2"/>
        <v>0</v>
      </c>
      <c r="I28" s="110">
        <f t="shared" si="3"/>
        <v>0</v>
      </c>
      <c r="J28" s="110">
        <f t="shared" si="4"/>
        <v>0</v>
      </c>
      <c r="K28" s="110">
        <v>0</v>
      </c>
      <c r="L28" s="110">
        <f t="shared" si="5"/>
        <v>0</v>
      </c>
      <c r="M28" s="111">
        <v>0</v>
      </c>
      <c r="N28" s="44"/>
      <c r="O28" s="54">
        <v>0</v>
      </c>
      <c r="P28" s="61">
        <v>0</v>
      </c>
      <c r="Q28" s="69" t="s">
        <v>49</v>
      </c>
      <c r="R28" s="55"/>
    </row>
    <row r="29" spans="1:18" ht="48" customHeight="1" thickBot="1" x14ac:dyDescent="0.3">
      <c r="A29" s="26" t="s">
        <v>172</v>
      </c>
      <c r="B29" s="27" t="s">
        <v>197</v>
      </c>
      <c r="C29" s="27" t="s">
        <v>43</v>
      </c>
      <c r="D29" s="143" t="s">
        <v>44</v>
      </c>
      <c r="E29" s="121" t="s">
        <v>47</v>
      </c>
      <c r="F29" s="112">
        <v>3</v>
      </c>
      <c r="G29" s="144" t="s">
        <v>48</v>
      </c>
      <c r="H29" s="115">
        <f t="shared" si="2"/>
        <v>0</v>
      </c>
      <c r="I29" s="115">
        <f t="shared" si="3"/>
        <v>0</v>
      </c>
      <c r="J29" s="115">
        <f t="shared" si="4"/>
        <v>0</v>
      </c>
      <c r="K29" s="115">
        <v>0</v>
      </c>
      <c r="L29" s="115">
        <f t="shared" si="5"/>
        <v>0</v>
      </c>
      <c r="M29" s="116">
        <v>0</v>
      </c>
      <c r="N29" s="46"/>
      <c r="O29" s="56">
        <v>0</v>
      </c>
      <c r="P29" s="63">
        <v>15</v>
      </c>
      <c r="Q29" s="71" t="s">
        <v>50</v>
      </c>
      <c r="R29" s="58"/>
    </row>
    <row r="30" spans="1:18" ht="15.75" thickBot="1" x14ac:dyDescent="0.3">
      <c r="A30" s="309" t="s">
        <v>0</v>
      </c>
      <c r="B30" s="310"/>
      <c r="C30" s="310"/>
      <c r="D30" s="310"/>
      <c r="E30" s="310"/>
      <c r="F30" s="311"/>
      <c r="G30" s="22"/>
      <c r="H30" s="23">
        <f t="shared" ref="H30:M30" si="6">SUM(H15:H29)</f>
        <v>0</v>
      </c>
      <c r="I30" s="23">
        <f t="shared" si="6"/>
        <v>0</v>
      </c>
      <c r="J30" s="23">
        <f t="shared" si="6"/>
        <v>0</v>
      </c>
      <c r="K30" s="23">
        <f t="shared" si="6"/>
        <v>0</v>
      </c>
      <c r="L30" s="23">
        <f t="shared" si="6"/>
        <v>0</v>
      </c>
      <c r="M30" s="23">
        <f t="shared" si="6"/>
        <v>0</v>
      </c>
      <c r="O30" s="21">
        <f>I30+J30</f>
        <v>0</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8" zoomScale="90" zoomScaleNormal="90" zoomScaleSheetLayoutView="100" workbookViewId="0">
      <selection activeCell="N1" sqref="N1:R10"/>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7" max="17" width="17.42578125" customWidth="1"/>
    <col min="18" max="18" width="16.28515625" customWidth="1"/>
  </cols>
  <sheetData>
    <row r="1" spans="1:18" ht="36.75" customHeight="1" thickBot="1" x14ac:dyDescent="0.3">
      <c r="A1" s="327" t="s">
        <v>295</v>
      </c>
      <c r="B1" s="328"/>
      <c r="C1" s="328"/>
      <c r="D1" s="328"/>
      <c r="E1" s="328"/>
      <c r="F1" s="328"/>
      <c r="G1" s="328"/>
      <c r="H1" s="328"/>
      <c r="I1" s="328"/>
      <c r="J1" s="328"/>
      <c r="K1" s="328"/>
      <c r="L1" s="328"/>
      <c r="M1" s="328"/>
      <c r="N1" s="354" t="s">
        <v>298</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0</v>
      </c>
      <c r="Q3" s="30">
        <f>J15+J16+J17+J18+J19+J20</f>
        <v>0</v>
      </c>
      <c r="R3" s="31">
        <f>P3+Q3</f>
        <v>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0</v>
      </c>
      <c r="Q5" s="35">
        <f>Q3+Q4</f>
        <v>0</v>
      </c>
      <c r="R5" s="36">
        <f>R3+R4</f>
        <v>0</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175</v>
      </c>
      <c r="B10" s="329"/>
      <c r="C10" s="329"/>
      <c r="D10" s="329"/>
      <c r="E10" s="329"/>
      <c r="F10" s="329"/>
      <c r="G10" s="329"/>
      <c r="H10" s="329"/>
      <c r="I10" s="329"/>
      <c r="J10" s="329"/>
      <c r="K10" s="329"/>
      <c r="L10" s="329"/>
      <c r="M10" s="329"/>
      <c r="N10" s="14" t="s">
        <v>29</v>
      </c>
      <c r="O10" s="15" t="s">
        <v>0</v>
      </c>
      <c r="P10" s="37">
        <f>P5+P7+P9</f>
        <v>0</v>
      </c>
      <c r="Q10" s="37">
        <f>Q5+Q7+Q9</f>
        <v>0</v>
      </c>
      <c r="R10" s="38">
        <f>R5+R7+R9</f>
        <v>0</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6.5" customHeight="1" thickBot="1" x14ac:dyDescent="0.3">
      <c r="A15" s="65" t="s">
        <v>64</v>
      </c>
      <c r="B15" s="66" t="s">
        <v>63</v>
      </c>
      <c r="C15" s="66" t="s">
        <v>43</v>
      </c>
      <c r="D15" s="132" t="s">
        <v>21</v>
      </c>
      <c r="E15" s="102">
        <v>4</v>
      </c>
      <c r="F15" s="132" t="s">
        <v>200</v>
      </c>
      <c r="G15" s="133" t="s">
        <v>201</v>
      </c>
      <c r="H15" s="105">
        <f>I15+J15+K15+L15</f>
        <v>0</v>
      </c>
      <c r="I15" s="105">
        <f t="shared" ref="I15:I20" si="0">0.85*O15</f>
        <v>0</v>
      </c>
      <c r="J15" s="105">
        <f t="shared" ref="J15:J20" si="1">0.15*O15</f>
        <v>0</v>
      </c>
      <c r="K15" s="105">
        <f>((I15+J15)/95)*5</f>
        <v>0</v>
      </c>
      <c r="L15" s="105">
        <v>0</v>
      </c>
      <c r="M15" s="106">
        <v>0</v>
      </c>
      <c r="N15" s="42"/>
      <c r="O15" s="52">
        <v>0</v>
      </c>
      <c r="P15" s="42"/>
      <c r="Q15" s="42"/>
      <c r="R15" s="53"/>
    </row>
    <row r="16" spans="1:18" ht="41.25" customHeight="1" thickBot="1" x14ac:dyDescent="0.3">
      <c r="A16" s="18" t="s">
        <v>84</v>
      </c>
      <c r="B16" s="19" t="s">
        <v>185</v>
      </c>
      <c r="C16" s="19" t="s">
        <v>43</v>
      </c>
      <c r="D16" s="134" t="s">
        <v>21</v>
      </c>
      <c r="E16" s="107">
        <v>4</v>
      </c>
      <c r="F16" s="134" t="s">
        <v>200</v>
      </c>
      <c r="G16" s="135" t="s">
        <v>201</v>
      </c>
      <c r="H16" s="110">
        <f>I16+J16+K16+L16</f>
        <v>0</v>
      </c>
      <c r="I16" s="110">
        <f t="shared" si="0"/>
        <v>0</v>
      </c>
      <c r="J16" s="110">
        <f t="shared" si="1"/>
        <v>0</v>
      </c>
      <c r="K16" s="110">
        <f>((I16+J16)/95)*5</f>
        <v>0</v>
      </c>
      <c r="L16" s="110">
        <v>0</v>
      </c>
      <c r="M16" s="111">
        <v>0</v>
      </c>
      <c r="N16" s="44"/>
      <c r="O16" s="54">
        <v>0</v>
      </c>
      <c r="P16" s="44"/>
      <c r="Q16" s="44"/>
      <c r="R16" s="55"/>
    </row>
    <row r="17" spans="1:18" ht="45.75" customHeight="1" thickBot="1" x14ac:dyDescent="0.3">
      <c r="A17" s="18" t="s">
        <v>91</v>
      </c>
      <c r="B17" s="19" t="s">
        <v>184</v>
      </c>
      <c r="C17" s="19" t="s">
        <v>43</v>
      </c>
      <c r="D17" s="134" t="s">
        <v>21</v>
      </c>
      <c r="E17" s="107">
        <v>4</v>
      </c>
      <c r="F17" s="134" t="s">
        <v>200</v>
      </c>
      <c r="G17" s="135" t="s">
        <v>201</v>
      </c>
      <c r="H17" s="110">
        <f t="shared" ref="H17:H29" si="2">I17+J17+K17+L17</f>
        <v>0</v>
      </c>
      <c r="I17" s="110">
        <f t="shared" si="0"/>
        <v>0</v>
      </c>
      <c r="J17" s="110">
        <f t="shared" si="1"/>
        <v>0</v>
      </c>
      <c r="K17" s="110">
        <f>((I17+J17)/95)*5</f>
        <v>0</v>
      </c>
      <c r="L17" s="110">
        <v>0</v>
      </c>
      <c r="M17" s="111">
        <v>0</v>
      </c>
      <c r="N17" s="44"/>
      <c r="O17" s="54">
        <v>0</v>
      </c>
      <c r="P17" s="44"/>
      <c r="Q17" s="44"/>
      <c r="R17" s="55"/>
    </row>
    <row r="18" spans="1:18" ht="51" customHeight="1" thickBot="1" x14ac:dyDescent="0.3">
      <c r="A18" s="18" t="s">
        <v>106</v>
      </c>
      <c r="B18" s="19" t="s">
        <v>186</v>
      </c>
      <c r="C18" s="19" t="s">
        <v>43</v>
      </c>
      <c r="D18" s="134" t="s">
        <v>21</v>
      </c>
      <c r="E18" s="107">
        <v>4</v>
      </c>
      <c r="F18" s="134" t="s">
        <v>200</v>
      </c>
      <c r="G18" s="135" t="s">
        <v>201</v>
      </c>
      <c r="H18" s="110">
        <f t="shared" si="2"/>
        <v>0</v>
      </c>
      <c r="I18" s="110">
        <f t="shared" si="0"/>
        <v>0</v>
      </c>
      <c r="J18" s="110">
        <f t="shared" si="1"/>
        <v>0</v>
      </c>
      <c r="K18" s="110">
        <v>0</v>
      </c>
      <c r="L18" s="110">
        <f>((I18+J18)/95)*5</f>
        <v>0</v>
      </c>
      <c r="M18" s="111">
        <v>0</v>
      </c>
      <c r="N18" s="44"/>
      <c r="O18" s="54">
        <v>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2"/>
        <v>0</v>
      </c>
      <c r="I19" s="110">
        <f t="shared" si="0"/>
        <v>0</v>
      </c>
      <c r="J19" s="110">
        <f t="shared" si="1"/>
        <v>0</v>
      </c>
      <c r="K19" s="110">
        <f>(((I19+J19)/95)*5)/10*9</f>
        <v>0</v>
      </c>
      <c r="L19" s="110">
        <f>(((I19+J19)/95)*5)/10</f>
        <v>0</v>
      </c>
      <c r="M19" s="111">
        <v>0</v>
      </c>
      <c r="N19" s="44"/>
      <c r="O19" s="54">
        <v>0</v>
      </c>
      <c r="P19" s="44"/>
      <c r="Q19" s="44"/>
      <c r="R19" s="55"/>
    </row>
    <row r="20" spans="1:18" ht="54" customHeight="1" thickBot="1" x14ac:dyDescent="0.3">
      <c r="A20" s="26" t="s">
        <v>135</v>
      </c>
      <c r="B20" s="27" t="s">
        <v>188</v>
      </c>
      <c r="C20" s="27" t="s">
        <v>43</v>
      </c>
      <c r="D20" s="136" t="s">
        <v>21</v>
      </c>
      <c r="E20" s="137">
        <v>4</v>
      </c>
      <c r="F20" s="136" t="s">
        <v>200</v>
      </c>
      <c r="G20" s="138" t="s">
        <v>201</v>
      </c>
      <c r="H20" s="139">
        <f t="shared" si="2"/>
        <v>0</v>
      </c>
      <c r="I20" s="139">
        <f t="shared" si="0"/>
        <v>0</v>
      </c>
      <c r="J20" s="139">
        <f t="shared" si="1"/>
        <v>0</v>
      </c>
      <c r="K20" s="139">
        <f>(((I20+J20)/95)*5)</f>
        <v>0</v>
      </c>
      <c r="L20" s="139">
        <v>0</v>
      </c>
      <c r="M20" s="140">
        <v>0</v>
      </c>
      <c r="N20" s="46"/>
      <c r="O20" s="56">
        <v>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2"/>
        <v>0</v>
      </c>
      <c r="I21" s="105">
        <f t="shared" ref="I21:I29" si="3">0.75*O21</f>
        <v>0</v>
      </c>
      <c r="J21" s="105">
        <f t="shared" ref="J21:J29" si="4">0.25*O21</f>
        <v>0</v>
      </c>
      <c r="K21" s="105">
        <v>0</v>
      </c>
      <c r="L21" s="105">
        <f t="shared" ref="L21:L29" si="5">((I21+J21)/(100-P21))*P21</f>
        <v>0</v>
      </c>
      <c r="M21" s="106">
        <v>0</v>
      </c>
      <c r="N21" s="42"/>
      <c r="O21" s="52">
        <v>0</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2"/>
        <v>0</v>
      </c>
      <c r="I22" s="110">
        <f t="shared" si="3"/>
        <v>0</v>
      </c>
      <c r="J22" s="110">
        <f t="shared" si="4"/>
        <v>0</v>
      </c>
      <c r="K22" s="110">
        <v>0</v>
      </c>
      <c r="L22" s="110">
        <f t="shared" si="5"/>
        <v>0</v>
      </c>
      <c r="M22" s="111">
        <v>0</v>
      </c>
      <c r="N22" s="44"/>
      <c r="O22" s="54">
        <v>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2"/>
        <v>0</v>
      </c>
      <c r="I23" s="110">
        <f t="shared" si="3"/>
        <v>0</v>
      </c>
      <c r="J23" s="110">
        <f t="shared" si="4"/>
        <v>0</v>
      </c>
      <c r="K23" s="110">
        <v>0</v>
      </c>
      <c r="L23" s="110">
        <f t="shared" si="5"/>
        <v>0</v>
      </c>
      <c r="M23" s="111">
        <v>0</v>
      </c>
      <c r="N23" s="44"/>
      <c r="O23" s="54">
        <v>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2"/>
        <v>0</v>
      </c>
      <c r="I24" s="110">
        <f t="shared" si="3"/>
        <v>0</v>
      </c>
      <c r="J24" s="110">
        <f t="shared" si="4"/>
        <v>0</v>
      </c>
      <c r="K24" s="110">
        <v>0</v>
      </c>
      <c r="L24" s="110">
        <f t="shared" si="5"/>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2"/>
        <v>0</v>
      </c>
      <c r="I25" s="139">
        <f t="shared" si="3"/>
        <v>0</v>
      </c>
      <c r="J25" s="139">
        <f t="shared" si="4"/>
        <v>0</v>
      </c>
      <c r="K25" s="139">
        <v>0</v>
      </c>
      <c r="L25" s="139">
        <f t="shared" si="5"/>
        <v>0</v>
      </c>
      <c r="M25" s="140">
        <v>0</v>
      </c>
      <c r="N25" s="46"/>
      <c r="O25" s="56">
        <v>0</v>
      </c>
      <c r="P25" s="63">
        <v>20</v>
      </c>
      <c r="Q25" s="64"/>
      <c r="R25" s="58"/>
    </row>
    <row r="26" spans="1:18" ht="46.5" customHeight="1" thickBot="1" x14ac:dyDescent="0.3">
      <c r="A26" s="65" t="s">
        <v>154</v>
      </c>
      <c r="B26" s="66" t="s">
        <v>194</v>
      </c>
      <c r="C26" s="66" t="s">
        <v>43</v>
      </c>
      <c r="D26" s="132" t="s">
        <v>44</v>
      </c>
      <c r="E26" s="117" t="s">
        <v>47</v>
      </c>
      <c r="F26" s="102">
        <v>3</v>
      </c>
      <c r="G26" s="141" t="s">
        <v>205</v>
      </c>
      <c r="H26" s="105">
        <f t="shared" si="2"/>
        <v>0</v>
      </c>
      <c r="I26" s="105">
        <f t="shared" si="3"/>
        <v>0</v>
      </c>
      <c r="J26" s="105">
        <f t="shared" si="4"/>
        <v>0</v>
      </c>
      <c r="K26" s="105">
        <v>0</v>
      </c>
      <c r="L26" s="105">
        <f t="shared" si="5"/>
        <v>0</v>
      </c>
      <c r="M26" s="106">
        <v>0</v>
      </c>
      <c r="N26" s="42"/>
      <c r="O26" s="52">
        <v>0</v>
      </c>
      <c r="P26" s="59">
        <v>0</v>
      </c>
      <c r="Q26" s="73" t="s">
        <v>45</v>
      </c>
      <c r="R26" s="53"/>
    </row>
    <row r="27" spans="1:18" ht="84" customHeight="1" thickBot="1" x14ac:dyDescent="0.3">
      <c r="A27" s="18" t="s">
        <v>91</v>
      </c>
      <c r="B27" s="19" t="s">
        <v>195</v>
      </c>
      <c r="C27" s="19" t="s">
        <v>43</v>
      </c>
      <c r="D27" s="134" t="s">
        <v>44</v>
      </c>
      <c r="E27" s="119">
        <v>2</v>
      </c>
      <c r="F27" s="107">
        <v>3</v>
      </c>
      <c r="G27" s="138" t="s">
        <v>48</v>
      </c>
      <c r="H27" s="110">
        <f t="shared" si="2"/>
        <v>0</v>
      </c>
      <c r="I27" s="110">
        <f t="shared" si="3"/>
        <v>0</v>
      </c>
      <c r="J27" s="110">
        <f t="shared" si="4"/>
        <v>0</v>
      </c>
      <c r="K27" s="110">
        <v>0</v>
      </c>
      <c r="L27" s="110">
        <f t="shared" si="5"/>
        <v>0</v>
      </c>
      <c r="M27" s="111">
        <v>0</v>
      </c>
      <c r="N27" s="44"/>
      <c r="O27" s="54">
        <v>0</v>
      </c>
      <c r="P27" s="61">
        <v>0</v>
      </c>
      <c r="Q27" s="74" t="s">
        <v>199</v>
      </c>
      <c r="R27" s="55"/>
    </row>
    <row r="28" spans="1:18" ht="49.5" customHeight="1" thickBot="1" x14ac:dyDescent="0.3">
      <c r="A28" s="18" t="s">
        <v>154</v>
      </c>
      <c r="B28" s="19" t="s">
        <v>196</v>
      </c>
      <c r="C28" s="19" t="s">
        <v>43</v>
      </c>
      <c r="D28" s="134" t="s">
        <v>44</v>
      </c>
      <c r="E28" s="119" t="s">
        <v>47</v>
      </c>
      <c r="F28" s="107">
        <v>3</v>
      </c>
      <c r="G28" s="138" t="s">
        <v>48</v>
      </c>
      <c r="H28" s="110">
        <f t="shared" si="2"/>
        <v>0</v>
      </c>
      <c r="I28" s="110">
        <f t="shared" si="3"/>
        <v>0</v>
      </c>
      <c r="J28" s="110">
        <f t="shared" si="4"/>
        <v>0</v>
      </c>
      <c r="K28" s="110">
        <v>0</v>
      </c>
      <c r="L28" s="110">
        <f t="shared" si="5"/>
        <v>0</v>
      </c>
      <c r="M28" s="111">
        <v>0</v>
      </c>
      <c r="N28" s="44"/>
      <c r="O28" s="54">
        <v>0</v>
      </c>
      <c r="P28" s="61">
        <v>0</v>
      </c>
      <c r="Q28" s="74" t="s">
        <v>49</v>
      </c>
      <c r="R28" s="55"/>
    </row>
    <row r="29" spans="1:18" ht="51" customHeight="1" thickBot="1" x14ac:dyDescent="0.3">
      <c r="A29" s="26" t="s">
        <v>172</v>
      </c>
      <c r="B29" s="27" t="s">
        <v>197</v>
      </c>
      <c r="C29" s="27" t="s">
        <v>43</v>
      </c>
      <c r="D29" s="143" t="s">
        <v>44</v>
      </c>
      <c r="E29" s="121" t="s">
        <v>47</v>
      </c>
      <c r="F29" s="112">
        <v>3</v>
      </c>
      <c r="G29" s="144" t="s">
        <v>48</v>
      </c>
      <c r="H29" s="115">
        <f t="shared" si="2"/>
        <v>0</v>
      </c>
      <c r="I29" s="115">
        <f t="shared" si="3"/>
        <v>0</v>
      </c>
      <c r="J29" s="115">
        <f t="shared" si="4"/>
        <v>0</v>
      </c>
      <c r="K29" s="115">
        <v>0</v>
      </c>
      <c r="L29" s="115">
        <f t="shared" si="5"/>
        <v>0</v>
      </c>
      <c r="M29" s="116">
        <v>0</v>
      </c>
      <c r="N29" s="46"/>
      <c r="O29" s="56">
        <v>0</v>
      </c>
      <c r="P29" s="63">
        <v>15</v>
      </c>
      <c r="Q29" s="75" t="s">
        <v>50</v>
      </c>
      <c r="R29" s="58"/>
    </row>
    <row r="30" spans="1:18" ht="15.75" thickBot="1" x14ac:dyDescent="0.3">
      <c r="A30" s="309" t="s">
        <v>0</v>
      </c>
      <c r="B30" s="310"/>
      <c r="C30" s="310"/>
      <c r="D30" s="310"/>
      <c r="E30" s="310"/>
      <c r="F30" s="311"/>
      <c r="G30" s="22"/>
      <c r="H30" s="23">
        <f t="shared" ref="H30:M30" si="6">SUM(H15:H29)</f>
        <v>0</v>
      </c>
      <c r="I30" s="23">
        <f t="shared" si="6"/>
        <v>0</v>
      </c>
      <c r="J30" s="23">
        <f t="shared" si="6"/>
        <v>0</v>
      </c>
      <c r="K30" s="23">
        <f t="shared" si="6"/>
        <v>0</v>
      </c>
      <c r="L30" s="23">
        <f t="shared" si="6"/>
        <v>0</v>
      </c>
      <c r="M30" s="23">
        <f t="shared" si="6"/>
        <v>0</v>
      </c>
      <c r="O30" s="21">
        <f>I30+J30</f>
        <v>0</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3" zoomScale="80" zoomScaleNormal="80" zoomScaleSheetLayoutView="100" workbookViewId="0">
      <selection activeCell="M27" sqref="M27"/>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85546875" customWidth="1"/>
    <col min="17" max="17" width="15.42578125" customWidth="1"/>
    <col min="18" max="18" width="15.140625" customWidth="1"/>
  </cols>
  <sheetData>
    <row r="1" spans="1:18" ht="35.25" customHeight="1" thickBot="1" x14ac:dyDescent="0.3">
      <c r="A1" s="327" t="s">
        <v>294</v>
      </c>
      <c r="B1" s="328"/>
      <c r="C1" s="328"/>
      <c r="D1" s="328"/>
      <c r="E1" s="328"/>
      <c r="F1" s="328"/>
      <c r="G1" s="328"/>
      <c r="H1" s="328"/>
      <c r="I1" s="328"/>
      <c r="J1" s="328"/>
      <c r="K1" s="328"/>
      <c r="L1" s="328"/>
      <c r="M1" s="328"/>
      <c r="N1" s="354" t="s">
        <v>299</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11500</v>
      </c>
      <c r="Q3" s="30">
        <f>J15+J16+J17+J18+J19+J20</f>
        <v>0</v>
      </c>
      <c r="R3" s="31">
        <f>P3+Q3</f>
        <v>11500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11500</v>
      </c>
      <c r="Q5" s="35">
        <f>Q3+Q4</f>
        <v>0</v>
      </c>
      <c r="R5" s="36">
        <f>R3+R4</f>
        <v>11500</v>
      </c>
    </row>
    <row r="6" spans="1:18" ht="15.75" thickBot="1" x14ac:dyDescent="0.3">
      <c r="A6" s="3"/>
      <c r="B6" s="4"/>
      <c r="C6" s="4"/>
      <c r="D6" s="29"/>
      <c r="E6" s="29"/>
      <c r="F6" s="29"/>
      <c r="G6" s="29"/>
      <c r="H6" s="29"/>
      <c r="I6" s="29"/>
      <c r="J6" s="29"/>
      <c r="K6" s="29"/>
      <c r="L6" s="29"/>
      <c r="M6" s="4"/>
      <c r="N6" s="306" t="s">
        <v>24</v>
      </c>
      <c r="O6" s="10" t="s">
        <v>25</v>
      </c>
      <c r="P6" s="30">
        <f>I26+I27+I28+I29</f>
        <v>3328.28</v>
      </c>
      <c r="Q6" s="30">
        <f>J26+J27+J28+J29+0.01</f>
        <v>156.63999999999999</v>
      </c>
      <c r="R6" s="32">
        <f>P6+Q6</f>
        <v>3484.92</v>
      </c>
    </row>
    <row r="7" spans="1:18" ht="15.75" thickBot="1" x14ac:dyDescent="0.3">
      <c r="A7" s="3"/>
      <c r="B7" s="4"/>
      <c r="C7" s="4"/>
      <c r="D7" s="29"/>
      <c r="E7" s="29"/>
      <c r="F7" s="29"/>
      <c r="G7" s="29"/>
      <c r="H7" s="29"/>
      <c r="I7" s="29"/>
      <c r="J7" s="29"/>
      <c r="K7" s="29"/>
      <c r="L7" s="29"/>
      <c r="M7" s="4"/>
      <c r="N7" s="305"/>
      <c r="O7" s="129" t="s">
        <v>288</v>
      </c>
      <c r="P7" s="177">
        <f>P6</f>
        <v>3328.28</v>
      </c>
      <c r="Q7" s="177">
        <f>Q6</f>
        <v>156.63999999999999</v>
      </c>
      <c r="R7" s="178">
        <f>R6</f>
        <v>3484.92</v>
      </c>
    </row>
    <row r="8" spans="1:18" ht="15.75" thickBot="1" x14ac:dyDescent="0.3">
      <c r="A8" s="3"/>
      <c r="B8" s="4"/>
      <c r="C8" s="4"/>
      <c r="D8" s="29"/>
      <c r="E8" s="29"/>
      <c r="F8" s="29"/>
      <c r="G8" s="29"/>
      <c r="H8" s="29"/>
      <c r="I8" s="29"/>
      <c r="J8" s="29"/>
      <c r="K8" s="29"/>
      <c r="L8" s="29"/>
      <c r="M8" s="4"/>
      <c r="N8" s="306" t="s">
        <v>26</v>
      </c>
      <c r="O8" s="13" t="s">
        <v>27</v>
      </c>
      <c r="P8" s="33">
        <f>I21+I22+I23+I24+I25</f>
        <v>10974.51</v>
      </c>
      <c r="Q8" s="33">
        <f>J21+J22+J23+J24+J25</f>
        <v>3658.17</v>
      </c>
      <c r="R8" s="34">
        <f>P8+Q8</f>
        <v>14632.68</v>
      </c>
    </row>
    <row r="9" spans="1:18" ht="15.75" thickBot="1" x14ac:dyDescent="0.3">
      <c r="A9" s="3"/>
      <c r="B9" s="4"/>
      <c r="C9" s="4"/>
      <c r="D9" s="29"/>
      <c r="E9" s="29"/>
      <c r="F9" s="29"/>
      <c r="G9" s="29"/>
      <c r="H9" s="29"/>
      <c r="I9" s="29"/>
      <c r="J9" s="29"/>
      <c r="K9" s="29"/>
      <c r="L9" s="29"/>
      <c r="M9" s="4"/>
      <c r="N9" s="307"/>
      <c r="O9" s="12" t="s">
        <v>28</v>
      </c>
      <c r="P9" s="177">
        <f>P8</f>
        <v>10974.51</v>
      </c>
      <c r="Q9" s="177">
        <f>Q8</f>
        <v>3658.17</v>
      </c>
      <c r="R9" s="177">
        <f>R8</f>
        <v>14632.68</v>
      </c>
    </row>
    <row r="10" spans="1:18" ht="16.5" thickTop="1" thickBot="1" x14ac:dyDescent="0.3">
      <c r="A10" s="330" t="s">
        <v>176</v>
      </c>
      <c r="B10" s="329"/>
      <c r="C10" s="329"/>
      <c r="D10" s="329"/>
      <c r="E10" s="329"/>
      <c r="F10" s="329"/>
      <c r="G10" s="329"/>
      <c r="H10" s="329"/>
      <c r="I10" s="329"/>
      <c r="J10" s="329"/>
      <c r="K10" s="329"/>
      <c r="L10" s="329"/>
      <c r="M10" s="329"/>
      <c r="N10" s="14" t="s">
        <v>29</v>
      </c>
      <c r="O10" s="15" t="s">
        <v>0</v>
      </c>
      <c r="P10" s="37">
        <f>P5+P7+P9</f>
        <v>25802.79</v>
      </c>
      <c r="Q10" s="37">
        <f>Q5+Q7+Q9</f>
        <v>3814.81</v>
      </c>
      <c r="R10" s="38">
        <f>R5+R7+R9</f>
        <v>29617.599999999999</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1.25" customHeight="1" thickBot="1" x14ac:dyDescent="0.3">
      <c r="A15" s="65" t="s">
        <v>64</v>
      </c>
      <c r="B15" s="66" t="s">
        <v>63</v>
      </c>
      <c r="C15" s="66" t="s">
        <v>43</v>
      </c>
      <c r="D15" s="51" t="s">
        <v>21</v>
      </c>
      <c r="E15" s="102">
        <v>4</v>
      </c>
      <c r="F15" s="132" t="s">
        <v>200</v>
      </c>
      <c r="G15" s="133" t="s">
        <v>201</v>
      </c>
      <c r="H15" s="105">
        <f>I15+J15+K15+L15</f>
        <v>6315.79</v>
      </c>
      <c r="I15" s="105">
        <f>5100+900</f>
        <v>6000</v>
      </c>
      <c r="J15" s="105">
        <v>0</v>
      </c>
      <c r="K15" s="105">
        <v>315.79000000000002</v>
      </c>
      <c r="L15" s="105">
        <v>0</v>
      </c>
      <c r="M15" s="106">
        <v>0</v>
      </c>
      <c r="N15" s="42"/>
      <c r="O15" s="52">
        <v>6000</v>
      </c>
      <c r="P15" s="42"/>
      <c r="Q15" s="42"/>
      <c r="R15" s="53"/>
    </row>
    <row r="16" spans="1:18" ht="39" customHeight="1" thickBot="1" x14ac:dyDescent="0.3">
      <c r="A16" s="18" t="s">
        <v>84</v>
      </c>
      <c r="B16" s="19" t="s">
        <v>185</v>
      </c>
      <c r="C16" s="19" t="s">
        <v>43</v>
      </c>
      <c r="D16" s="20" t="s">
        <v>21</v>
      </c>
      <c r="E16" s="107">
        <v>4</v>
      </c>
      <c r="F16" s="134" t="s">
        <v>200</v>
      </c>
      <c r="G16" s="135" t="s">
        <v>201</v>
      </c>
      <c r="H16" s="110">
        <f>I16+J16+K16+L16</f>
        <v>1052.6300000000001</v>
      </c>
      <c r="I16" s="110">
        <f>850+150</f>
        <v>1000</v>
      </c>
      <c r="J16" s="110">
        <v>0</v>
      </c>
      <c r="K16" s="110">
        <v>52.63</v>
      </c>
      <c r="L16" s="110">
        <v>0</v>
      </c>
      <c r="M16" s="111">
        <v>0</v>
      </c>
      <c r="N16" s="44"/>
      <c r="O16" s="54">
        <v>1000</v>
      </c>
      <c r="P16" s="44"/>
      <c r="Q16" s="44"/>
      <c r="R16" s="55"/>
    </row>
    <row r="17" spans="1:18" ht="39" customHeight="1" thickBot="1" x14ac:dyDescent="0.3">
      <c r="A17" s="18" t="s">
        <v>91</v>
      </c>
      <c r="B17" s="19" t="s">
        <v>184</v>
      </c>
      <c r="C17" s="19" t="s">
        <v>43</v>
      </c>
      <c r="D17" s="20" t="s">
        <v>21</v>
      </c>
      <c r="E17" s="107">
        <v>4</v>
      </c>
      <c r="F17" s="134" t="s">
        <v>200</v>
      </c>
      <c r="G17" s="135" t="s">
        <v>201</v>
      </c>
      <c r="H17" s="110">
        <f t="shared" ref="H17:H25" si="0">I17+J17+K17+L17</f>
        <v>2631.58</v>
      </c>
      <c r="I17" s="110">
        <f>2125+375</f>
        <v>2500</v>
      </c>
      <c r="J17" s="110">
        <v>0</v>
      </c>
      <c r="K17" s="110">
        <v>131.58000000000001</v>
      </c>
      <c r="L17" s="110">
        <v>0</v>
      </c>
      <c r="M17" s="111">
        <v>0</v>
      </c>
      <c r="N17" s="44"/>
      <c r="O17" s="54">
        <v>2500</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1052.6300000000001</v>
      </c>
      <c r="I18" s="110">
        <f>850+150</f>
        <v>1000</v>
      </c>
      <c r="J18" s="110">
        <v>0</v>
      </c>
      <c r="K18" s="110">
        <v>0</v>
      </c>
      <c r="L18" s="110">
        <v>52.63</v>
      </c>
      <c r="M18" s="111">
        <v>0</v>
      </c>
      <c r="N18" s="44"/>
      <c r="O18" s="54">
        <v>1000</v>
      </c>
      <c r="P18" s="44"/>
      <c r="Q18" s="44"/>
      <c r="R18" s="55"/>
    </row>
    <row r="19" spans="1:18" ht="45.75" customHeight="1" thickBot="1" x14ac:dyDescent="0.3">
      <c r="A19" s="18" t="s">
        <v>124</v>
      </c>
      <c r="B19" s="19" t="s">
        <v>187</v>
      </c>
      <c r="C19" s="19" t="s">
        <v>43</v>
      </c>
      <c r="D19" s="20" t="s">
        <v>21</v>
      </c>
      <c r="E19" s="107">
        <v>4</v>
      </c>
      <c r="F19" s="134" t="s">
        <v>200</v>
      </c>
      <c r="G19" s="135" t="s">
        <v>201</v>
      </c>
      <c r="H19" s="110">
        <f t="shared" si="0"/>
        <v>1052.6299999999999</v>
      </c>
      <c r="I19" s="110">
        <f>850+150</f>
        <v>1000</v>
      </c>
      <c r="J19" s="110">
        <v>0</v>
      </c>
      <c r="K19" s="110">
        <v>47.37</v>
      </c>
      <c r="L19" s="110">
        <v>5.26</v>
      </c>
      <c r="M19" s="111">
        <v>0</v>
      </c>
      <c r="N19" s="44"/>
      <c r="O19" s="54">
        <v>1000</v>
      </c>
      <c r="P19" s="44"/>
      <c r="Q19" s="44"/>
      <c r="R19" s="55"/>
    </row>
    <row r="20" spans="1:18" ht="39" customHeight="1" thickBot="1" x14ac:dyDescent="0.3">
      <c r="A20" s="26" t="s">
        <v>135</v>
      </c>
      <c r="B20" s="27" t="s">
        <v>188</v>
      </c>
      <c r="C20" s="27" t="s">
        <v>43</v>
      </c>
      <c r="D20" s="28" t="s">
        <v>21</v>
      </c>
      <c r="E20" s="137">
        <v>4</v>
      </c>
      <c r="F20" s="136" t="s">
        <v>200</v>
      </c>
      <c r="G20" s="138" t="s">
        <v>201</v>
      </c>
      <c r="H20" s="139">
        <f t="shared" si="0"/>
        <v>0</v>
      </c>
      <c r="I20" s="139">
        <f>0.85*O20</f>
        <v>0</v>
      </c>
      <c r="J20" s="139">
        <f>0.15*O20</f>
        <v>0</v>
      </c>
      <c r="K20" s="139">
        <f>(((I20+J20)/95)*5)</f>
        <v>0</v>
      </c>
      <c r="L20" s="139">
        <v>0</v>
      </c>
      <c r="M20" s="140">
        <v>0</v>
      </c>
      <c r="N20" s="46"/>
      <c r="O20" s="56">
        <v>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4000</v>
      </c>
      <c r="I21" s="105">
        <v>1500</v>
      </c>
      <c r="J21" s="105">
        <v>500</v>
      </c>
      <c r="K21" s="105">
        <v>0</v>
      </c>
      <c r="L21" s="105">
        <v>2000</v>
      </c>
      <c r="M21" s="106">
        <v>0</v>
      </c>
      <c r="N21" s="42"/>
      <c r="O21" s="52">
        <v>2000</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1250</v>
      </c>
      <c r="I22" s="110">
        <v>750</v>
      </c>
      <c r="J22" s="110">
        <v>250</v>
      </c>
      <c r="K22" s="110">
        <v>0</v>
      </c>
      <c r="L22" s="110">
        <v>250</v>
      </c>
      <c r="M22" s="111">
        <v>0</v>
      </c>
      <c r="N22" s="44"/>
      <c r="O22" s="54">
        <v>1000</v>
      </c>
      <c r="P22" s="61">
        <v>20</v>
      </c>
      <c r="Q22" s="62"/>
      <c r="R22" s="55"/>
    </row>
    <row r="23" spans="1:18" ht="39" customHeight="1" thickBot="1" x14ac:dyDescent="0.3">
      <c r="A23" s="18" t="s">
        <v>150</v>
      </c>
      <c r="B23" s="19" t="s">
        <v>191</v>
      </c>
      <c r="C23" s="19" t="s">
        <v>43</v>
      </c>
      <c r="D23" s="20" t="s">
        <v>27</v>
      </c>
      <c r="E23" s="107">
        <v>6</v>
      </c>
      <c r="F23" s="134" t="s">
        <v>202</v>
      </c>
      <c r="G23" s="138" t="s">
        <v>203</v>
      </c>
      <c r="H23" s="110">
        <f t="shared" si="0"/>
        <v>24444.440000000002</v>
      </c>
      <c r="I23" s="110">
        <v>8250</v>
      </c>
      <c r="J23" s="110">
        <v>2750</v>
      </c>
      <c r="K23" s="110">
        <v>0</v>
      </c>
      <c r="L23" s="110">
        <v>13444.44</v>
      </c>
      <c r="M23" s="111">
        <v>0</v>
      </c>
      <c r="N23" s="44"/>
      <c r="O23" s="54">
        <v>11000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((I24+J24)/(100-P24))*P24</f>
        <v>0</v>
      </c>
      <c r="M24" s="111">
        <v>0</v>
      </c>
      <c r="N24" s="44"/>
      <c r="O24" s="54">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790.84999999999991</v>
      </c>
      <c r="I25" s="139">
        <f>0.75*O25</f>
        <v>474.51</v>
      </c>
      <c r="J25" s="139">
        <f>0.25*O25</f>
        <v>158.16999999999999</v>
      </c>
      <c r="K25" s="139">
        <v>0</v>
      </c>
      <c r="L25" s="139">
        <f>0.25*O25</f>
        <v>158.16999999999999</v>
      </c>
      <c r="M25" s="140">
        <v>0</v>
      </c>
      <c r="N25" s="46"/>
      <c r="O25" s="56">
        <v>632.67999999999995</v>
      </c>
      <c r="P25" s="63">
        <v>20</v>
      </c>
      <c r="Q25" s="64"/>
      <c r="R25" s="58"/>
    </row>
    <row r="26" spans="1:18" ht="47.25" customHeight="1" thickBot="1" x14ac:dyDescent="0.3">
      <c r="A26" s="65" t="s">
        <v>154</v>
      </c>
      <c r="B26" s="66" t="s">
        <v>194</v>
      </c>
      <c r="C26" s="66" t="s">
        <v>43</v>
      </c>
      <c r="D26" s="132" t="s">
        <v>44</v>
      </c>
      <c r="E26" s="117" t="s">
        <v>47</v>
      </c>
      <c r="F26" s="102">
        <v>3</v>
      </c>
      <c r="G26" s="141" t="s">
        <v>205</v>
      </c>
      <c r="H26" s="105">
        <v>1566.24</v>
      </c>
      <c r="I26" s="105">
        <v>1331.3</v>
      </c>
      <c r="J26" s="105">
        <v>78.31</v>
      </c>
      <c r="K26" s="105">
        <v>39.159999999999997</v>
      </c>
      <c r="L26" s="105">
        <v>117.47</v>
      </c>
      <c r="M26" s="106">
        <v>0</v>
      </c>
      <c r="N26" s="147"/>
      <c r="O26" s="148">
        <v>1566.24</v>
      </c>
      <c r="P26" s="151">
        <v>0</v>
      </c>
      <c r="Q26" s="179" t="s">
        <v>45</v>
      </c>
      <c r="R26" s="180"/>
    </row>
    <row r="27" spans="1:18" ht="84" customHeight="1" thickBot="1" x14ac:dyDescent="0.3">
      <c r="A27" s="18" t="s">
        <v>91</v>
      </c>
      <c r="B27" s="19" t="s">
        <v>195</v>
      </c>
      <c r="C27" s="19" t="s">
        <v>43</v>
      </c>
      <c r="D27" s="134" t="s">
        <v>44</v>
      </c>
      <c r="E27" s="119">
        <v>2</v>
      </c>
      <c r="F27" s="107">
        <v>3</v>
      </c>
      <c r="G27" s="138" t="s">
        <v>48</v>
      </c>
      <c r="H27" s="110">
        <v>391.57</v>
      </c>
      <c r="I27" s="110">
        <v>332.83</v>
      </c>
      <c r="J27" s="110">
        <v>48.95</v>
      </c>
      <c r="K27" s="110">
        <v>9.7899999999999991</v>
      </c>
      <c r="L27" s="110">
        <v>0</v>
      </c>
      <c r="M27" s="111">
        <v>0</v>
      </c>
      <c r="N27" s="149"/>
      <c r="O27" s="150">
        <v>391.57</v>
      </c>
      <c r="P27" s="152">
        <v>0</v>
      </c>
      <c r="Q27" s="181" t="s">
        <v>199</v>
      </c>
      <c r="R27" s="182"/>
    </row>
    <row r="28" spans="1:18" ht="54.75" customHeight="1" thickBot="1" x14ac:dyDescent="0.3">
      <c r="A28" s="18" t="s">
        <v>154</v>
      </c>
      <c r="B28" s="19" t="s">
        <v>196</v>
      </c>
      <c r="C28" s="19" t="s">
        <v>43</v>
      </c>
      <c r="D28" s="134" t="s">
        <v>44</v>
      </c>
      <c r="E28" s="119" t="s">
        <v>47</v>
      </c>
      <c r="F28" s="107">
        <v>3</v>
      </c>
      <c r="G28" s="138" t="s">
        <v>48</v>
      </c>
      <c r="H28" s="110">
        <v>587.36</v>
      </c>
      <c r="I28" s="110">
        <v>499.25</v>
      </c>
      <c r="J28" s="110">
        <v>29.37</v>
      </c>
      <c r="K28" s="110">
        <v>29.37</v>
      </c>
      <c r="L28" s="110">
        <v>29.37</v>
      </c>
      <c r="M28" s="111">
        <v>0</v>
      </c>
      <c r="N28" s="149"/>
      <c r="O28" s="150">
        <v>587.36</v>
      </c>
      <c r="P28" s="152">
        <v>0</v>
      </c>
      <c r="Q28" s="181" t="s">
        <v>49</v>
      </c>
      <c r="R28" s="182"/>
    </row>
    <row r="29" spans="1:18" ht="47.25" customHeight="1" thickBot="1" x14ac:dyDescent="0.3">
      <c r="A29" s="26" t="s">
        <v>172</v>
      </c>
      <c r="B29" s="27" t="s">
        <v>197</v>
      </c>
      <c r="C29" s="27" t="s">
        <v>43</v>
      </c>
      <c r="D29" s="143" t="s">
        <v>44</v>
      </c>
      <c r="E29" s="121" t="s">
        <v>47</v>
      </c>
      <c r="F29" s="112">
        <v>3</v>
      </c>
      <c r="G29" s="144" t="s">
        <v>48</v>
      </c>
      <c r="H29" s="115">
        <v>1370.47</v>
      </c>
      <c r="I29" s="115">
        <v>1164.9000000000001</v>
      </c>
      <c r="J29" s="115">
        <v>0</v>
      </c>
      <c r="K29" s="115">
        <v>0</v>
      </c>
      <c r="L29" s="115">
        <v>205.57</v>
      </c>
      <c r="M29" s="116">
        <v>0</v>
      </c>
      <c r="N29" s="203"/>
      <c r="O29" s="146">
        <v>1370.47</v>
      </c>
      <c r="P29" s="153">
        <v>15</v>
      </c>
      <c r="Q29" s="204" t="s">
        <v>50</v>
      </c>
      <c r="R29" s="205"/>
    </row>
    <row r="30" spans="1:18" ht="15.75" thickBot="1" x14ac:dyDescent="0.3">
      <c r="A30" s="309" t="s">
        <v>0</v>
      </c>
      <c r="B30" s="310"/>
      <c r="C30" s="310"/>
      <c r="D30" s="310"/>
      <c r="E30" s="310"/>
      <c r="F30" s="311"/>
      <c r="G30" s="22"/>
      <c r="H30" s="23">
        <f t="shared" ref="H30:M30" si="1">SUM(H15:H29)</f>
        <v>46506.19</v>
      </c>
      <c r="I30" s="23">
        <f t="shared" si="1"/>
        <v>25802.79</v>
      </c>
      <c r="J30" s="23">
        <f t="shared" si="1"/>
        <v>3814.7999999999997</v>
      </c>
      <c r="K30" s="23">
        <f t="shared" si="1"/>
        <v>625.68999999999994</v>
      </c>
      <c r="L30" s="23">
        <f t="shared" si="1"/>
        <v>16262.91</v>
      </c>
      <c r="M30" s="23">
        <f t="shared" si="1"/>
        <v>0</v>
      </c>
      <c r="O30" s="21">
        <f>I30+J30</f>
        <v>29617.59</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5" zoomScale="90" zoomScaleNormal="90" zoomScaleSheetLayoutView="100" workbookViewId="0">
      <selection activeCell="G37" sqref="G37"/>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4.85546875" customWidth="1"/>
    <col min="18" max="18" width="14.42578125" customWidth="1"/>
  </cols>
  <sheetData>
    <row r="1" spans="1:18" ht="36.75" customHeight="1" thickBot="1" x14ac:dyDescent="0.3">
      <c r="A1" s="327" t="s">
        <v>293</v>
      </c>
      <c r="B1" s="328"/>
      <c r="C1" s="328"/>
      <c r="D1" s="328"/>
      <c r="E1" s="328"/>
      <c r="F1" s="328"/>
      <c r="G1" s="328"/>
      <c r="H1" s="328"/>
      <c r="I1" s="328"/>
      <c r="J1" s="328"/>
      <c r="K1" s="328"/>
      <c r="L1" s="328"/>
      <c r="M1" s="328"/>
      <c r="N1" s="354" t="s">
        <v>300</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2218.84</v>
      </c>
      <c r="Q6" s="30">
        <f>J26+J27+J28+J29</f>
        <v>104.42</v>
      </c>
      <c r="R6" s="32">
        <f>P6+Q6</f>
        <v>2323.2600000000002</v>
      </c>
    </row>
    <row r="7" spans="1:18" ht="15.75" thickBot="1" x14ac:dyDescent="0.3">
      <c r="A7" s="3"/>
      <c r="B7" s="4"/>
      <c r="C7" s="4"/>
      <c r="D7" s="29"/>
      <c r="E7" s="29"/>
      <c r="F7" s="29"/>
      <c r="G7" s="29"/>
      <c r="H7" s="29"/>
      <c r="I7" s="29"/>
      <c r="J7" s="29"/>
      <c r="K7" s="29"/>
      <c r="L7" s="29"/>
      <c r="M7" s="4"/>
      <c r="N7" s="305"/>
      <c r="O7" s="129" t="s">
        <v>288</v>
      </c>
      <c r="P7" s="177">
        <f>P6</f>
        <v>2218.84</v>
      </c>
      <c r="Q7" s="177">
        <f>Q6</f>
        <v>104.42</v>
      </c>
      <c r="R7" s="178">
        <f>R6</f>
        <v>2323.2600000000002</v>
      </c>
    </row>
    <row r="8" spans="1:18" ht="15.75" thickBot="1" x14ac:dyDescent="0.3">
      <c r="A8" s="3"/>
      <c r="B8" s="4"/>
      <c r="C8" s="4"/>
      <c r="D8" s="29"/>
      <c r="E8" s="29"/>
      <c r="F8" s="29"/>
      <c r="G8" s="29"/>
      <c r="H8" s="29"/>
      <c r="I8" s="29"/>
      <c r="J8" s="29"/>
      <c r="K8" s="29"/>
      <c r="L8" s="29"/>
      <c r="M8" s="4"/>
      <c r="N8" s="306" t="s">
        <v>26</v>
      </c>
      <c r="O8" s="13" t="s">
        <v>27</v>
      </c>
      <c r="P8" s="33">
        <f>I21+I22+I23+I24+I25</f>
        <v>2583</v>
      </c>
      <c r="Q8" s="33">
        <f>J21+J22+J23+J24+J25</f>
        <v>861</v>
      </c>
      <c r="R8" s="34">
        <f>P8+Q8</f>
        <v>3444</v>
      </c>
    </row>
    <row r="9" spans="1:18" ht="15.75" thickBot="1" x14ac:dyDescent="0.3">
      <c r="A9" s="3"/>
      <c r="B9" s="4"/>
      <c r="C9" s="4"/>
      <c r="D9" s="29"/>
      <c r="E9" s="29"/>
      <c r="F9" s="29"/>
      <c r="G9" s="29"/>
      <c r="H9" s="29"/>
      <c r="I9" s="29"/>
      <c r="J9" s="29"/>
      <c r="K9" s="29"/>
      <c r="L9" s="29"/>
      <c r="M9" s="4"/>
      <c r="N9" s="307"/>
      <c r="O9" s="12" t="s">
        <v>28</v>
      </c>
      <c r="P9" s="177">
        <f>P8</f>
        <v>2583</v>
      </c>
      <c r="Q9" s="177">
        <f>Q8</f>
        <v>861</v>
      </c>
      <c r="R9" s="177">
        <f>R8</f>
        <v>3444</v>
      </c>
    </row>
    <row r="10" spans="1:18" ht="16.5" thickTop="1" thickBot="1" x14ac:dyDescent="0.3">
      <c r="A10" s="330" t="s">
        <v>177</v>
      </c>
      <c r="B10" s="329"/>
      <c r="C10" s="329"/>
      <c r="D10" s="329"/>
      <c r="E10" s="329"/>
      <c r="F10" s="329"/>
      <c r="G10" s="329"/>
      <c r="H10" s="329"/>
      <c r="I10" s="329"/>
      <c r="J10" s="329"/>
      <c r="K10" s="329"/>
      <c r="L10" s="329"/>
      <c r="M10" s="329"/>
      <c r="N10" s="14" t="s">
        <v>29</v>
      </c>
      <c r="O10" s="15" t="s">
        <v>0</v>
      </c>
      <c r="P10" s="37">
        <f>P5+P7+P9</f>
        <v>10263.83</v>
      </c>
      <c r="Q10" s="37">
        <f>Q5+Q7+Q9</f>
        <v>965.42</v>
      </c>
      <c r="R10" s="38">
        <f>R5+R7+R9</f>
        <v>11229.25</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7.25" customHeight="1" thickBot="1" x14ac:dyDescent="0.3">
      <c r="A15" s="65" t="s">
        <v>64</v>
      </c>
      <c r="B15" s="66" t="s">
        <v>63</v>
      </c>
      <c r="C15" s="66" t="s">
        <v>43</v>
      </c>
      <c r="D15" s="132"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5" customHeight="1" thickBot="1" x14ac:dyDescent="0.3">
      <c r="A16" s="18" t="s">
        <v>84</v>
      </c>
      <c r="B16" s="19" t="s">
        <v>185</v>
      </c>
      <c r="C16" s="19" t="s">
        <v>43</v>
      </c>
      <c r="D16" s="134"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9.5" customHeight="1" thickBot="1" x14ac:dyDescent="0.3">
      <c r="A17" s="18" t="s">
        <v>91</v>
      </c>
      <c r="B17" s="19" t="s">
        <v>184</v>
      </c>
      <c r="C17" s="19" t="s">
        <v>43</v>
      </c>
      <c r="D17" s="134"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134"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5.75" customHeight="1" thickBot="1" x14ac:dyDescent="0.3">
      <c r="A20" s="26" t="s">
        <v>135</v>
      </c>
      <c r="B20" s="27" t="s">
        <v>188</v>
      </c>
      <c r="C20" s="27" t="s">
        <v>43</v>
      </c>
      <c r="D20" s="136"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0"/>
        <v>1250</v>
      </c>
      <c r="I22" s="110">
        <v>750</v>
      </c>
      <c r="J22" s="110">
        <v>250</v>
      </c>
      <c r="K22" s="110">
        <v>0</v>
      </c>
      <c r="L22" s="110">
        <v>250</v>
      </c>
      <c r="M22" s="111">
        <v>0</v>
      </c>
      <c r="N22" s="44"/>
      <c r="O22" s="54">
        <v>1000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0"/>
        <v>600</v>
      </c>
      <c r="I24" s="110">
        <v>225</v>
      </c>
      <c r="J24" s="110">
        <v>75</v>
      </c>
      <c r="K24" s="110">
        <v>0</v>
      </c>
      <c r="L24" s="110">
        <v>300</v>
      </c>
      <c r="M24" s="111">
        <v>0</v>
      </c>
      <c r="N24" s="44"/>
      <c r="O24" s="54">
        <v>300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0"/>
        <v>0</v>
      </c>
      <c r="I25" s="139">
        <f>0.75*O25</f>
        <v>0</v>
      </c>
      <c r="J25" s="139">
        <f>0.25*O25</f>
        <v>0</v>
      </c>
      <c r="K25" s="139">
        <v>0</v>
      </c>
      <c r="L25" s="139">
        <f>((I25+J25)/(100-P25))*P25</f>
        <v>0</v>
      </c>
      <c r="M25" s="140">
        <v>0</v>
      </c>
      <c r="N25" s="46"/>
      <c r="O25" s="56">
        <v>0</v>
      </c>
      <c r="P25" s="63">
        <v>20</v>
      </c>
      <c r="Q25" s="64"/>
      <c r="R25" s="58"/>
    </row>
    <row r="26" spans="1:18" ht="51" customHeight="1" thickBot="1" x14ac:dyDescent="0.3">
      <c r="A26" s="65" t="s">
        <v>154</v>
      </c>
      <c r="B26" s="66" t="s">
        <v>194</v>
      </c>
      <c r="C26" s="66" t="s">
        <v>43</v>
      </c>
      <c r="D26" s="132" t="s">
        <v>44</v>
      </c>
      <c r="E26" s="117" t="s">
        <v>47</v>
      </c>
      <c r="F26" s="102">
        <v>3</v>
      </c>
      <c r="G26" s="141" t="s">
        <v>205</v>
      </c>
      <c r="H26" s="105">
        <v>1044.1600000000001</v>
      </c>
      <c r="I26" s="105">
        <v>887.54</v>
      </c>
      <c r="J26" s="105">
        <v>52.21</v>
      </c>
      <c r="K26" s="105">
        <v>26.1</v>
      </c>
      <c r="L26" s="105">
        <v>78.31</v>
      </c>
      <c r="M26" s="106">
        <v>0</v>
      </c>
      <c r="N26" s="147"/>
      <c r="O26" s="148">
        <v>1044.1600000000001</v>
      </c>
      <c r="P26" s="151">
        <v>0</v>
      </c>
      <c r="Q26" s="179" t="s">
        <v>45</v>
      </c>
      <c r="R26" s="180"/>
    </row>
    <row r="27" spans="1:18" ht="84" customHeight="1" thickBot="1" x14ac:dyDescent="0.3">
      <c r="A27" s="18" t="s">
        <v>91</v>
      </c>
      <c r="B27" s="19" t="s">
        <v>195</v>
      </c>
      <c r="C27" s="19" t="s">
        <v>43</v>
      </c>
      <c r="D27" s="134" t="s">
        <v>44</v>
      </c>
      <c r="E27" s="119">
        <v>2</v>
      </c>
      <c r="F27" s="107">
        <v>3</v>
      </c>
      <c r="G27" s="138" t="s">
        <v>48</v>
      </c>
      <c r="H27" s="110">
        <v>261.04000000000002</v>
      </c>
      <c r="I27" s="110">
        <v>221.88</v>
      </c>
      <c r="J27" s="110">
        <v>32.630000000000003</v>
      </c>
      <c r="K27" s="110">
        <v>6.53</v>
      </c>
      <c r="L27" s="110">
        <v>0</v>
      </c>
      <c r="M27" s="111">
        <v>0</v>
      </c>
      <c r="N27" s="149"/>
      <c r="O27" s="150">
        <v>261.04000000000002</v>
      </c>
      <c r="P27" s="152">
        <v>0</v>
      </c>
      <c r="Q27" s="181" t="s">
        <v>46</v>
      </c>
      <c r="R27" s="182"/>
    </row>
    <row r="28" spans="1:18" ht="54" customHeight="1" thickBot="1" x14ac:dyDescent="0.3">
      <c r="A28" s="18" t="s">
        <v>154</v>
      </c>
      <c r="B28" s="19" t="s">
        <v>196</v>
      </c>
      <c r="C28" s="19" t="s">
        <v>43</v>
      </c>
      <c r="D28" s="134" t="s">
        <v>44</v>
      </c>
      <c r="E28" s="119" t="s">
        <v>47</v>
      </c>
      <c r="F28" s="107">
        <v>3</v>
      </c>
      <c r="G28" s="138" t="s">
        <v>48</v>
      </c>
      <c r="H28" s="110">
        <v>391.57</v>
      </c>
      <c r="I28" s="110">
        <v>332.83</v>
      </c>
      <c r="J28" s="110">
        <v>19.579999999999998</v>
      </c>
      <c r="K28" s="110">
        <v>19.579999999999998</v>
      </c>
      <c r="L28" s="110">
        <v>19.579999999999998</v>
      </c>
      <c r="M28" s="111">
        <v>0</v>
      </c>
      <c r="N28" s="149"/>
      <c r="O28" s="150">
        <v>391.57</v>
      </c>
      <c r="P28" s="152">
        <v>0</v>
      </c>
      <c r="Q28" s="181" t="s">
        <v>49</v>
      </c>
      <c r="R28" s="182"/>
    </row>
    <row r="29" spans="1:18" ht="47.25" customHeight="1" thickBot="1" x14ac:dyDescent="0.3">
      <c r="A29" s="26" t="s">
        <v>172</v>
      </c>
      <c r="B29" s="27" t="s">
        <v>197</v>
      </c>
      <c r="C29" s="27" t="s">
        <v>43</v>
      </c>
      <c r="D29" s="143" t="s">
        <v>44</v>
      </c>
      <c r="E29" s="121" t="s">
        <v>47</v>
      </c>
      <c r="F29" s="112">
        <v>3</v>
      </c>
      <c r="G29" s="144" t="s">
        <v>48</v>
      </c>
      <c r="H29" s="115">
        <v>913.64</v>
      </c>
      <c r="I29" s="115">
        <v>776.59</v>
      </c>
      <c r="J29" s="115">
        <v>0</v>
      </c>
      <c r="K29" s="115">
        <v>0</v>
      </c>
      <c r="L29" s="115">
        <v>137.05000000000001</v>
      </c>
      <c r="M29" s="116">
        <v>0</v>
      </c>
      <c r="N29" s="154"/>
      <c r="O29" s="146">
        <v>913.64</v>
      </c>
      <c r="P29" s="153">
        <v>15</v>
      </c>
      <c r="Q29" s="204" t="s">
        <v>50</v>
      </c>
      <c r="R29" s="205"/>
    </row>
    <row r="30" spans="1:18" ht="15.75" thickBot="1" x14ac:dyDescent="0.3">
      <c r="A30" s="309" t="s">
        <v>0</v>
      </c>
      <c r="B30" s="310"/>
      <c r="C30" s="310"/>
      <c r="D30" s="310"/>
      <c r="E30" s="310"/>
      <c r="F30" s="311"/>
      <c r="G30" s="22"/>
      <c r="H30" s="23">
        <f t="shared" ref="H30:M30" si="1">SUM(H15:H29)</f>
        <v>14897.87</v>
      </c>
      <c r="I30" s="23">
        <f t="shared" si="1"/>
        <v>10263.829999999998</v>
      </c>
      <c r="J30" s="23">
        <f t="shared" si="1"/>
        <v>965.42000000000007</v>
      </c>
      <c r="K30" s="23">
        <f t="shared" si="1"/>
        <v>303.89</v>
      </c>
      <c r="L30" s="23">
        <f t="shared" si="1"/>
        <v>3364.73</v>
      </c>
      <c r="M30" s="23">
        <f t="shared" si="1"/>
        <v>0</v>
      </c>
      <c r="O30" s="21">
        <f>I30+J30</f>
        <v>11229.249999999998</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5" zoomScale="90" zoomScaleNormal="90" zoomScaleSheetLayoutView="100" workbookViewId="0">
      <selection activeCell="H26" sqref="H26:M29"/>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5.28515625" customWidth="1"/>
    <col min="18" max="18" width="14.42578125" customWidth="1"/>
  </cols>
  <sheetData>
    <row r="1" spans="1:18" ht="33" customHeight="1" thickBot="1" x14ac:dyDescent="0.3">
      <c r="A1" s="327" t="s">
        <v>292</v>
      </c>
      <c r="B1" s="328"/>
      <c r="C1" s="328"/>
      <c r="D1" s="328"/>
      <c r="E1" s="328"/>
      <c r="F1" s="328"/>
      <c r="G1" s="328"/>
      <c r="H1" s="328"/>
      <c r="I1" s="328"/>
      <c r="J1" s="328"/>
      <c r="K1" s="328"/>
      <c r="L1" s="328"/>
      <c r="M1" s="328"/>
      <c r="N1" s="354" t="s">
        <v>301</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2218.84</v>
      </c>
      <c r="Q6" s="30">
        <f>J26+J27+J28+J29</f>
        <v>104.42</v>
      </c>
      <c r="R6" s="32">
        <f>P6+Q6</f>
        <v>2323.2600000000002</v>
      </c>
    </row>
    <row r="7" spans="1:18" ht="15.75" thickBot="1" x14ac:dyDescent="0.3">
      <c r="A7" s="3"/>
      <c r="B7" s="4"/>
      <c r="C7" s="4"/>
      <c r="D7" s="29"/>
      <c r="E7" s="29"/>
      <c r="F7" s="29"/>
      <c r="G7" s="29"/>
      <c r="H7" s="29"/>
      <c r="I7" s="29"/>
      <c r="J7" s="29"/>
      <c r="K7" s="29"/>
      <c r="L7" s="29"/>
      <c r="M7" s="4"/>
      <c r="N7" s="305"/>
      <c r="O7" s="129" t="s">
        <v>288</v>
      </c>
      <c r="P7" s="177">
        <f>P6</f>
        <v>2218.84</v>
      </c>
      <c r="Q7" s="177">
        <f>Q6</f>
        <v>104.42</v>
      </c>
      <c r="R7" s="178">
        <f>R6</f>
        <v>2323.2600000000002</v>
      </c>
    </row>
    <row r="8" spans="1:18" ht="15.75" thickBot="1" x14ac:dyDescent="0.3">
      <c r="A8" s="3"/>
      <c r="B8" s="4"/>
      <c r="C8" s="4"/>
      <c r="D8" s="29"/>
      <c r="E8" s="29"/>
      <c r="F8" s="29"/>
      <c r="G8" s="29"/>
      <c r="H8" s="29"/>
      <c r="I8" s="29"/>
      <c r="J8" s="29"/>
      <c r="K8" s="29"/>
      <c r="L8" s="29"/>
      <c r="M8" s="4"/>
      <c r="N8" s="306" t="s">
        <v>26</v>
      </c>
      <c r="O8" s="13" t="s">
        <v>27</v>
      </c>
      <c r="P8" s="33">
        <f>I21+I22+I23+I24+I25</f>
        <v>2220.2550000000001</v>
      </c>
      <c r="Q8" s="33">
        <f>J21+J22+J23+J24+J25</f>
        <v>740.08500000000004</v>
      </c>
      <c r="R8" s="34">
        <f>P8+Q8+0.01</f>
        <v>2960.3500000000004</v>
      </c>
    </row>
    <row r="9" spans="1:18" ht="15.75" thickBot="1" x14ac:dyDescent="0.3">
      <c r="A9" s="3"/>
      <c r="B9" s="4"/>
      <c r="C9" s="4"/>
      <c r="D9" s="29"/>
      <c r="E9" s="29"/>
      <c r="F9" s="29"/>
      <c r="G9" s="29"/>
      <c r="H9" s="29"/>
      <c r="I9" s="29"/>
      <c r="J9" s="29"/>
      <c r="K9" s="29"/>
      <c r="L9" s="29"/>
      <c r="M9" s="4"/>
      <c r="N9" s="307"/>
      <c r="O9" s="12" t="s">
        <v>28</v>
      </c>
      <c r="P9" s="177">
        <f>P8</f>
        <v>2220.2550000000001</v>
      </c>
      <c r="Q9" s="177">
        <f>Q8</f>
        <v>740.08500000000004</v>
      </c>
      <c r="R9" s="177">
        <f>R8</f>
        <v>2960.3500000000004</v>
      </c>
    </row>
    <row r="10" spans="1:18" ht="16.5" thickTop="1" thickBot="1" x14ac:dyDescent="0.3">
      <c r="A10" s="330" t="s">
        <v>178</v>
      </c>
      <c r="B10" s="329"/>
      <c r="C10" s="329"/>
      <c r="D10" s="329"/>
      <c r="E10" s="329"/>
      <c r="F10" s="329"/>
      <c r="G10" s="329"/>
      <c r="H10" s="329"/>
      <c r="I10" s="329"/>
      <c r="J10" s="329"/>
      <c r="K10" s="329"/>
      <c r="L10" s="329"/>
      <c r="M10" s="329"/>
      <c r="N10" s="14" t="s">
        <v>29</v>
      </c>
      <c r="O10" s="15" t="s">
        <v>0</v>
      </c>
      <c r="P10" s="37">
        <f>P5+P7+P9</f>
        <v>9901.0849999999991</v>
      </c>
      <c r="Q10" s="37">
        <f>Q5+Q7+Q9</f>
        <v>844.505</v>
      </c>
      <c r="R10" s="38">
        <f>R5+R7+R9</f>
        <v>10745.6</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6.5" customHeight="1" thickBot="1" x14ac:dyDescent="0.3">
      <c r="A15" s="65" t="s">
        <v>64</v>
      </c>
      <c r="B15" s="66" t="s">
        <v>63</v>
      </c>
      <c r="C15" s="66" t="s">
        <v>43</v>
      </c>
      <c r="D15" s="132"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6.5" customHeight="1" thickBot="1" x14ac:dyDescent="0.3">
      <c r="A16" s="18" t="s">
        <v>84</v>
      </c>
      <c r="B16" s="19" t="s">
        <v>185</v>
      </c>
      <c r="C16" s="19" t="s">
        <v>43</v>
      </c>
      <c r="D16" s="134"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5.75" customHeight="1" thickBot="1" x14ac:dyDescent="0.3">
      <c r="A17" s="18" t="s">
        <v>91</v>
      </c>
      <c r="B17" s="19" t="s">
        <v>184</v>
      </c>
      <c r="C17" s="19" t="s">
        <v>43</v>
      </c>
      <c r="D17" s="134"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134"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54" customHeight="1" thickBot="1" x14ac:dyDescent="0.3">
      <c r="A19" s="18" t="s">
        <v>124</v>
      </c>
      <c r="B19" s="19" t="s">
        <v>187</v>
      </c>
      <c r="C19" s="19" t="s">
        <v>43</v>
      </c>
      <c r="D19" s="134"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54" customHeight="1" thickBot="1" x14ac:dyDescent="0.3">
      <c r="A20" s="26" t="s">
        <v>135</v>
      </c>
      <c r="B20" s="27" t="s">
        <v>188</v>
      </c>
      <c r="C20" s="27" t="s">
        <v>43</v>
      </c>
      <c r="D20" s="136"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0"/>
        <v>625</v>
      </c>
      <c r="I22" s="110">
        <v>375</v>
      </c>
      <c r="J22" s="110">
        <v>125</v>
      </c>
      <c r="K22" s="110">
        <v>0</v>
      </c>
      <c r="L22" s="110">
        <v>125</v>
      </c>
      <c r="M22" s="111">
        <v>0</v>
      </c>
      <c r="N22" s="44"/>
      <c r="O22" s="54">
        <v>500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0"/>
        <v>0</v>
      </c>
      <c r="I24" s="110">
        <f>0.75*O24</f>
        <v>0</v>
      </c>
      <c r="J24" s="110">
        <f>0.25*O24</f>
        <v>0</v>
      </c>
      <c r="K24" s="110">
        <v>0</v>
      </c>
      <c r="L24" s="110">
        <f>((I24+J24)/(100-P24))*P24</f>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0"/>
        <v>395.42999999999995</v>
      </c>
      <c r="I25" s="139">
        <f>0.75*O25</f>
        <v>237.255</v>
      </c>
      <c r="J25" s="139">
        <f>0.25*O25</f>
        <v>79.084999999999994</v>
      </c>
      <c r="K25" s="139">
        <v>0</v>
      </c>
      <c r="L25" s="139">
        <v>79.09</v>
      </c>
      <c r="M25" s="140">
        <v>0</v>
      </c>
      <c r="N25" s="125"/>
      <c r="O25" s="146">
        <v>316.33999999999997</v>
      </c>
      <c r="P25" s="63">
        <v>20</v>
      </c>
      <c r="Q25" s="64"/>
      <c r="R25" s="58"/>
    </row>
    <row r="26" spans="1:18" ht="51.75" customHeight="1" thickBot="1" x14ac:dyDescent="0.3">
      <c r="A26" s="65" t="s">
        <v>154</v>
      </c>
      <c r="B26" s="66" t="s">
        <v>194</v>
      </c>
      <c r="C26" s="66" t="s">
        <v>43</v>
      </c>
      <c r="D26" s="132" t="s">
        <v>44</v>
      </c>
      <c r="E26" s="117" t="s">
        <v>47</v>
      </c>
      <c r="F26" s="102">
        <v>3</v>
      </c>
      <c r="G26" s="141" t="s">
        <v>205</v>
      </c>
      <c r="H26" s="105">
        <v>1044.1600000000001</v>
      </c>
      <c r="I26" s="105">
        <v>887.54</v>
      </c>
      <c r="J26" s="105">
        <v>52.21</v>
      </c>
      <c r="K26" s="105">
        <v>26.1</v>
      </c>
      <c r="L26" s="105">
        <v>78.31</v>
      </c>
      <c r="M26" s="106">
        <v>0</v>
      </c>
      <c r="N26" s="147"/>
      <c r="O26" s="148">
        <v>1044.1600000000001</v>
      </c>
      <c r="P26" s="59">
        <v>0</v>
      </c>
      <c r="Q26" s="73" t="s">
        <v>45</v>
      </c>
      <c r="R26" s="53"/>
    </row>
    <row r="27" spans="1:18" ht="84" customHeight="1" thickBot="1" x14ac:dyDescent="0.3">
      <c r="A27" s="18" t="s">
        <v>91</v>
      </c>
      <c r="B27" s="19" t="s">
        <v>195</v>
      </c>
      <c r="C27" s="19" t="s">
        <v>43</v>
      </c>
      <c r="D27" s="134" t="s">
        <v>44</v>
      </c>
      <c r="E27" s="119">
        <v>2</v>
      </c>
      <c r="F27" s="107">
        <v>3</v>
      </c>
      <c r="G27" s="138" t="s">
        <v>48</v>
      </c>
      <c r="H27" s="110">
        <v>261.04000000000002</v>
      </c>
      <c r="I27" s="110">
        <v>221.88</v>
      </c>
      <c r="J27" s="110">
        <v>32.630000000000003</v>
      </c>
      <c r="K27" s="110">
        <v>6.53</v>
      </c>
      <c r="L27" s="110">
        <v>0</v>
      </c>
      <c r="M27" s="111">
        <v>0</v>
      </c>
      <c r="N27" s="149"/>
      <c r="O27" s="150">
        <v>261.04000000000002</v>
      </c>
      <c r="P27" s="61">
        <v>0</v>
      </c>
      <c r="Q27" s="74" t="s">
        <v>199</v>
      </c>
      <c r="R27" s="55"/>
    </row>
    <row r="28" spans="1:18" ht="54" customHeight="1" thickBot="1" x14ac:dyDescent="0.3">
      <c r="A28" s="18" t="s">
        <v>154</v>
      </c>
      <c r="B28" s="19" t="s">
        <v>196</v>
      </c>
      <c r="C28" s="19" t="s">
        <v>43</v>
      </c>
      <c r="D28" s="134" t="s">
        <v>44</v>
      </c>
      <c r="E28" s="119" t="s">
        <v>47</v>
      </c>
      <c r="F28" s="107">
        <v>3</v>
      </c>
      <c r="G28" s="138" t="s">
        <v>48</v>
      </c>
      <c r="H28" s="110">
        <v>391.57</v>
      </c>
      <c r="I28" s="110">
        <v>332.83</v>
      </c>
      <c r="J28" s="110">
        <v>19.579999999999998</v>
      </c>
      <c r="K28" s="110">
        <v>19.579999999999998</v>
      </c>
      <c r="L28" s="110">
        <v>19.579999999999998</v>
      </c>
      <c r="M28" s="111">
        <v>0</v>
      </c>
      <c r="N28" s="149"/>
      <c r="O28" s="150">
        <v>391.57</v>
      </c>
      <c r="P28" s="61">
        <v>0</v>
      </c>
      <c r="Q28" s="74" t="s">
        <v>49</v>
      </c>
      <c r="R28" s="55"/>
    </row>
    <row r="29" spans="1:18" ht="52.5" customHeight="1" thickBot="1" x14ac:dyDescent="0.3">
      <c r="A29" s="26" t="s">
        <v>172</v>
      </c>
      <c r="B29" s="27" t="s">
        <v>197</v>
      </c>
      <c r="C29" s="27" t="s">
        <v>43</v>
      </c>
      <c r="D29" s="143" t="s">
        <v>44</v>
      </c>
      <c r="E29" s="121" t="s">
        <v>47</v>
      </c>
      <c r="F29" s="112">
        <v>3</v>
      </c>
      <c r="G29" s="144" t="s">
        <v>48</v>
      </c>
      <c r="H29" s="115">
        <v>913.64</v>
      </c>
      <c r="I29" s="115">
        <v>776.59</v>
      </c>
      <c r="J29" s="115">
        <v>0</v>
      </c>
      <c r="K29" s="115">
        <v>0</v>
      </c>
      <c r="L29" s="115">
        <v>137.05000000000001</v>
      </c>
      <c r="M29" s="116">
        <v>0</v>
      </c>
      <c r="N29" s="154"/>
      <c r="O29" s="146">
        <v>913.64</v>
      </c>
      <c r="P29" s="63">
        <v>15</v>
      </c>
      <c r="Q29" s="75" t="s">
        <v>50</v>
      </c>
      <c r="R29" s="58"/>
    </row>
    <row r="30" spans="1:18" ht="15.75" thickBot="1" x14ac:dyDescent="0.3">
      <c r="A30" s="309" t="s">
        <v>0</v>
      </c>
      <c r="B30" s="310"/>
      <c r="C30" s="310"/>
      <c r="D30" s="310"/>
      <c r="E30" s="310"/>
      <c r="F30" s="311"/>
      <c r="G30" s="22"/>
      <c r="H30" s="23">
        <f t="shared" ref="H30:M30" si="1">SUM(H15:H29)</f>
        <v>14068.300000000001</v>
      </c>
      <c r="I30" s="23">
        <f t="shared" si="1"/>
        <v>9901.0849999999991</v>
      </c>
      <c r="J30" s="23">
        <f t="shared" si="1"/>
        <v>844.50500000000011</v>
      </c>
      <c r="K30" s="23">
        <f t="shared" si="1"/>
        <v>303.89</v>
      </c>
      <c r="L30" s="23">
        <f t="shared" si="1"/>
        <v>3018.82</v>
      </c>
      <c r="M30" s="23">
        <f t="shared" si="1"/>
        <v>0</v>
      </c>
      <c r="O30" s="21">
        <f>I30+J30</f>
        <v>10745.59</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2" zoomScale="80" zoomScaleNormal="80" zoomScaleSheetLayoutView="100" workbookViewId="0">
      <selection activeCell="O27" sqref="O27"/>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2" customWidth="1"/>
    <col min="17" max="17" width="16" customWidth="1"/>
    <col min="18" max="18" width="14.7109375" customWidth="1"/>
  </cols>
  <sheetData>
    <row r="1" spans="1:18" ht="47.25" customHeight="1" thickBot="1" x14ac:dyDescent="0.3">
      <c r="A1" s="327" t="s">
        <v>291</v>
      </c>
      <c r="B1" s="328"/>
      <c r="C1" s="328"/>
      <c r="D1" s="328"/>
      <c r="E1" s="328"/>
      <c r="F1" s="328"/>
      <c r="G1" s="328"/>
      <c r="H1" s="328"/>
      <c r="I1" s="328"/>
      <c r="J1" s="328"/>
      <c r="K1" s="328"/>
      <c r="L1" s="328"/>
      <c r="M1" s="328"/>
      <c r="N1" s="354" t="s">
        <v>302</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2218.84</v>
      </c>
      <c r="Q6" s="30">
        <f>J26+J27+J28+J29</f>
        <v>104.42</v>
      </c>
      <c r="R6" s="32">
        <f>P6+Q6</f>
        <v>2323.2600000000002</v>
      </c>
    </row>
    <row r="7" spans="1:18" ht="15.75" thickBot="1" x14ac:dyDescent="0.3">
      <c r="A7" s="3"/>
      <c r="B7" s="4"/>
      <c r="C7" s="4"/>
      <c r="D7" s="29"/>
      <c r="E7" s="29"/>
      <c r="F7" s="29"/>
      <c r="G7" s="29"/>
      <c r="H7" s="29"/>
      <c r="I7" s="29"/>
      <c r="J7" s="29"/>
      <c r="K7" s="29"/>
      <c r="L7" s="29"/>
      <c r="M7" s="4"/>
      <c r="N7" s="305"/>
      <c r="O7" s="129" t="s">
        <v>288</v>
      </c>
      <c r="P7" s="177">
        <f>P6</f>
        <v>2218.84</v>
      </c>
      <c r="Q7" s="177">
        <f>Q6</f>
        <v>104.42</v>
      </c>
      <c r="R7" s="178">
        <f>R6</f>
        <v>2323.2600000000002</v>
      </c>
    </row>
    <row r="8" spans="1:18" ht="15.75" thickBot="1" x14ac:dyDescent="0.3">
      <c r="A8" s="3"/>
      <c r="B8" s="4"/>
      <c r="C8" s="4"/>
      <c r="D8" s="29"/>
      <c r="E8" s="29"/>
      <c r="F8" s="29"/>
      <c r="G8" s="29"/>
      <c r="H8" s="29"/>
      <c r="I8" s="29"/>
      <c r="J8" s="29"/>
      <c r="K8" s="29"/>
      <c r="L8" s="29"/>
      <c r="M8" s="4"/>
      <c r="N8" s="306" t="s">
        <v>26</v>
      </c>
      <c r="O8" s="13" t="s">
        <v>27</v>
      </c>
      <c r="P8" s="33">
        <f>I21+I22+I23+I24+I25</f>
        <v>1608</v>
      </c>
      <c r="Q8" s="33">
        <f>J21+J22+J23+J24+J25</f>
        <v>536</v>
      </c>
      <c r="R8" s="34">
        <f>P8+Q8</f>
        <v>2144</v>
      </c>
    </row>
    <row r="9" spans="1:18" ht="15.75" thickBot="1" x14ac:dyDescent="0.3">
      <c r="A9" s="3"/>
      <c r="B9" s="4"/>
      <c r="C9" s="4"/>
      <c r="D9" s="29"/>
      <c r="E9" s="29"/>
      <c r="F9" s="29"/>
      <c r="G9" s="29"/>
      <c r="H9" s="29"/>
      <c r="I9" s="29"/>
      <c r="J9" s="29"/>
      <c r="K9" s="29"/>
      <c r="L9" s="29"/>
      <c r="M9" s="4"/>
      <c r="N9" s="307"/>
      <c r="O9" s="12" t="s">
        <v>28</v>
      </c>
      <c r="P9" s="177">
        <f>P8</f>
        <v>1608</v>
      </c>
      <c r="Q9" s="177">
        <f>Q8</f>
        <v>536</v>
      </c>
      <c r="R9" s="177">
        <f>R8</f>
        <v>2144</v>
      </c>
    </row>
    <row r="10" spans="1:18" ht="16.5" thickTop="1" thickBot="1" x14ac:dyDescent="0.3">
      <c r="A10" s="330" t="s">
        <v>179</v>
      </c>
      <c r="B10" s="329"/>
      <c r="C10" s="329"/>
      <c r="D10" s="329"/>
      <c r="E10" s="329"/>
      <c r="F10" s="329"/>
      <c r="G10" s="329"/>
      <c r="H10" s="329"/>
      <c r="I10" s="329"/>
      <c r="J10" s="329"/>
      <c r="K10" s="329"/>
      <c r="L10" s="329"/>
      <c r="M10" s="329"/>
      <c r="N10" s="14" t="s">
        <v>29</v>
      </c>
      <c r="O10" s="15" t="s">
        <v>0</v>
      </c>
      <c r="P10" s="37">
        <f>P5+P7+P9</f>
        <v>9288.83</v>
      </c>
      <c r="Q10" s="37">
        <f>Q5+Q7+Q9</f>
        <v>640.41999999999996</v>
      </c>
      <c r="R10" s="38">
        <f>R5+R7+R9</f>
        <v>9929.25</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51.7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7.2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7.25" customHeight="1" thickBot="1" x14ac:dyDescent="0.3">
      <c r="A17" s="18" t="s">
        <v>91</v>
      </c>
      <c r="B17" s="19" t="s">
        <v>184</v>
      </c>
      <c r="C17" s="19" t="s">
        <v>43</v>
      </c>
      <c r="D17" s="20"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52.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6.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0.75*O22</f>
        <v>0</v>
      </c>
      <c r="J22" s="110">
        <f>0.25*O22</f>
        <v>0</v>
      </c>
      <c r="K22" s="110">
        <v>0</v>
      </c>
      <c r="L22" s="110">
        <f t="shared" ref="L22:L25" si="1">((I22+J22)/(100-P22))*P22</f>
        <v>0</v>
      </c>
      <c r="M22" s="111">
        <v>0</v>
      </c>
      <c r="N22" s="44"/>
      <c r="O22" s="54">
        <v>0</v>
      </c>
      <c r="P22" s="61">
        <v>20</v>
      </c>
      <c r="Q22" s="62"/>
      <c r="R22" s="55"/>
    </row>
    <row r="23" spans="1:18" ht="39" customHeight="1" thickBot="1" x14ac:dyDescent="0.3">
      <c r="A23" s="18" t="s">
        <v>150</v>
      </c>
      <c r="B23" s="19" t="s">
        <v>191</v>
      </c>
      <c r="C23" s="19" t="s">
        <v>43</v>
      </c>
      <c r="D23" s="20"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 t="shared" si="1"/>
        <v>0</v>
      </c>
      <c r="M24" s="111">
        <v>0</v>
      </c>
      <c r="N24" s="44"/>
      <c r="O24" s="54">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0</v>
      </c>
      <c r="I25" s="139">
        <f>0.75*O25</f>
        <v>0</v>
      </c>
      <c r="J25" s="139">
        <f>0.25*O25</f>
        <v>0</v>
      </c>
      <c r="K25" s="139">
        <v>0</v>
      </c>
      <c r="L25" s="139">
        <f t="shared" si="1"/>
        <v>0</v>
      </c>
      <c r="M25" s="140">
        <v>0</v>
      </c>
      <c r="N25" s="46"/>
      <c r="O25" s="56">
        <v>0</v>
      </c>
      <c r="P25" s="63">
        <v>20</v>
      </c>
      <c r="Q25" s="64"/>
      <c r="R25" s="58"/>
    </row>
    <row r="26" spans="1:18" ht="59.25" customHeight="1" thickBot="1" x14ac:dyDescent="0.3">
      <c r="A26" s="65" t="s">
        <v>154</v>
      </c>
      <c r="B26" s="66" t="s">
        <v>194</v>
      </c>
      <c r="C26" s="66" t="s">
        <v>43</v>
      </c>
      <c r="D26" s="51" t="s">
        <v>44</v>
      </c>
      <c r="E26" s="117" t="s">
        <v>47</v>
      </c>
      <c r="F26" s="102">
        <v>3</v>
      </c>
      <c r="G26" s="141" t="s">
        <v>205</v>
      </c>
      <c r="H26" s="105">
        <v>1044.1600000000001</v>
      </c>
      <c r="I26" s="105">
        <v>887.54</v>
      </c>
      <c r="J26" s="105">
        <v>52.21</v>
      </c>
      <c r="K26" s="105">
        <v>26.1</v>
      </c>
      <c r="L26" s="105">
        <v>78.31</v>
      </c>
      <c r="M26" s="106">
        <v>0</v>
      </c>
      <c r="N26" s="67"/>
      <c r="O26" s="52">
        <v>1044.1600000000001</v>
      </c>
      <c r="P26" s="59">
        <v>0</v>
      </c>
      <c r="Q26" s="73" t="s">
        <v>45</v>
      </c>
      <c r="R26" s="53"/>
    </row>
    <row r="27" spans="1:18" ht="84" customHeight="1" thickBot="1" x14ac:dyDescent="0.3">
      <c r="A27" s="18" t="s">
        <v>91</v>
      </c>
      <c r="B27" s="19" t="s">
        <v>195</v>
      </c>
      <c r="C27" s="19" t="s">
        <v>43</v>
      </c>
      <c r="D27" s="20" t="s">
        <v>44</v>
      </c>
      <c r="E27" s="119">
        <v>2</v>
      </c>
      <c r="F27" s="107">
        <v>3</v>
      </c>
      <c r="G27" s="138" t="s">
        <v>48</v>
      </c>
      <c r="H27" s="110">
        <v>261.04000000000002</v>
      </c>
      <c r="I27" s="110">
        <v>221.88</v>
      </c>
      <c r="J27" s="110">
        <v>32.630000000000003</v>
      </c>
      <c r="K27" s="110">
        <v>6.53</v>
      </c>
      <c r="L27" s="110">
        <v>0</v>
      </c>
      <c r="M27" s="111">
        <v>0</v>
      </c>
      <c r="N27" s="50"/>
      <c r="O27" s="54">
        <v>261.04000000000002</v>
      </c>
      <c r="P27" s="61">
        <v>0</v>
      </c>
      <c r="Q27" s="74" t="s">
        <v>199</v>
      </c>
      <c r="R27" s="55"/>
    </row>
    <row r="28" spans="1:18" ht="57.75" customHeight="1" thickBot="1" x14ac:dyDescent="0.3">
      <c r="A28" s="18" t="s">
        <v>154</v>
      </c>
      <c r="B28" s="19" t="s">
        <v>196</v>
      </c>
      <c r="C28" s="19" t="s">
        <v>43</v>
      </c>
      <c r="D28" s="20" t="s">
        <v>44</v>
      </c>
      <c r="E28" s="119" t="s">
        <v>47</v>
      </c>
      <c r="F28" s="107">
        <v>3</v>
      </c>
      <c r="G28" s="138" t="s">
        <v>48</v>
      </c>
      <c r="H28" s="110">
        <v>391.57</v>
      </c>
      <c r="I28" s="110">
        <v>332.83</v>
      </c>
      <c r="J28" s="110">
        <v>19.579999999999998</v>
      </c>
      <c r="K28" s="110">
        <v>19.579999999999998</v>
      </c>
      <c r="L28" s="110">
        <v>19.579999999999998</v>
      </c>
      <c r="M28" s="111">
        <v>0</v>
      </c>
      <c r="N28" s="50"/>
      <c r="O28" s="54">
        <v>391.57</v>
      </c>
      <c r="P28" s="61">
        <v>0</v>
      </c>
      <c r="Q28" s="74" t="s">
        <v>49</v>
      </c>
      <c r="R28" s="55"/>
    </row>
    <row r="29" spans="1:18" ht="54" customHeight="1" thickBot="1" x14ac:dyDescent="0.3">
      <c r="A29" s="26" t="s">
        <v>172</v>
      </c>
      <c r="B29" s="27" t="s">
        <v>197</v>
      </c>
      <c r="C29" s="27" t="s">
        <v>43</v>
      </c>
      <c r="D29" s="143" t="s">
        <v>44</v>
      </c>
      <c r="E29" s="121" t="s">
        <v>47</v>
      </c>
      <c r="F29" s="112">
        <v>3</v>
      </c>
      <c r="G29" s="144" t="s">
        <v>48</v>
      </c>
      <c r="H29" s="115">
        <v>913.64</v>
      </c>
      <c r="I29" s="115">
        <v>776.59</v>
      </c>
      <c r="J29" s="115">
        <v>0</v>
      </c>
      <c r="K29" s="115">
        <v>0</v>
      </c>
      <c r="L29" s="115">
        <v>137.05000000000001</v>
      </c>
      <c r="M29" s="116">
        <v>0</v>
      </c>
      <c r="N29" s="154"/>
      <c r="O29" s="146">
        <v>913.64</v>
      </c>
      <c r="P29" s="153">
        <v>15</v>
      </c>
      <c r="Q29" s="204" t="s">
        <v>50</v>
      </c>
      <c r="R29" s="205"/>
    </row>
    <row r="30" spans="1:18" ht="15.75" thickBot="1" x14ac:dyDescent="0.3">
      <c r="A30" s="309" t="s">
        <v>0</v>
      </c>
      <c r="B30" s="310"/>
      <c r="C30" s="310"/>
      <c r="D30" s="310"/>
      <c r="E30" s="310"/>
      <c r="F30" s="311"/>
      <c r="G30" s="22"/>
      <c r="H30" s="23">
        <f t="shared" ref="H30:M30" si="2">SUM(H15:H29)</f>
        <v>13047.87</v>
      </c>
      <c r="I30" s="23">
        <f t="shared" si="2"/>
        <v>9288.83</v>
      </c>
      <c r="J30" s="23">
        <f t="shared" si="2"/>
        <v>640.42000000000007</v>
      </c>
      <c r="K30" s="23">
        <f t="shared" si="2"/>
        <v>303.89</v>
      </c>
      <c r="L30" s="23">
        <f t="shared" si="2"/>
        <v>2814.73</v>
      </c>
      <c r="M30" s="23">
        <f t="shared" si="2"/>
        <v>0</v>
      </c>
      <c r="O30" s="21">
        <f>I30+J30</f>
        <v>9929.25</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5" zoomScale="90" zoomScaleNormal="90" zoomScaleSheetLayoutView="110" workbookViewId="0">
      <selection activeCell="E34" sqref="E34"/>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85546875" customWidth="1"/>
    <col min="17" max="17" width="15.85546875" customWidth="1"/>
    <col min="18" max="18" width="14.42578125" customWidth="1"/>
  </cols>
  <sheetData>
    <row r="1" spans="1:18" ht="41.25" customHeight="1" thickBot="1" x14ac:dyDescent="0.3">
      <c r="A1" s="327" t="s">
        <v>290</v>
      </c>
      <c r="B1" s="328"/>
      <c r="C1" s="328"/>
      <c r="D1" s="328"/>
      <c r="E1" s="328"/>
      <c r="F1" s="328"/>
      <c r="G1" s="328"/>
      <c r="H1" s="328"/>
      <c r="I1" s="328"/>
      <c r="J1" s="328"/>
      <c r="K1" s="328"/>
      <c r="L1" s="328"/>
      <c r="M1" s="328"/>
      <c r="N1" s="354" t="s">
        <v>303</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1109.3600000000001</v>
      </c>
      <c r="Q6" s="30">
        <f>J26+J27+J28+J29</f>
        <v>52.2</v>
      </c>
      <c r="R6" s="32">
        <f>P6+Q6</f>
        <v>1161.5600000000002</v>
      </c>
    </row>
    <row r="7" spans="1:18" ht="15.75" thickBot="1" x14ac:dyDescent="0.3">
      <c r="A7" s="3"/>
      <c r="B7" s="4"/>
      <c r="C7" s="4"/>
      <c r="D7" s="29"/>
      <c r="E7" s="29"/>
      <c r="F7" s="29"/>
      <c r="G7" s="29"/>
      <c r="H7" s="29"/>
      <c r="I7" s="29"/>
      <c r="J7" s="29"/>
      <c r="K7" s="29"/>
      <c r="L7" s="29"/>
      <c r="M7" s="4"/>
      <c r="N7" s="305"/>
      <c r="O7" s="129" t="s">
        <v>288</v>
      </c>
      <c r="P7" s="177">
        <f>P6</f>
        <v>1109.3600000000001</v>
      </c>
      <c r="Q7" s="177">
        <f>Q6</f>
        <v>52.2</v>
      </c>
      <c r="R7" s="178">
        <f>R6</f>
        <v>1161.5600000000002</v>
      </c>
    </row>
    <row r="8" spans="1:18" ht="15.75" thickBot="1" x14ac:dyDescent="0.3">
      <c r="A8" s="3"/>
      <c r="B8" s="4"/>
      <c r="C8" s="4"/>
      <c r="D8" s="29"/>
      <c r="E8" s="29"/>
      <c r="F8" s="29"/>
      <c r="G8" s="29"/>
      <c r="H8" s="29"/>
      <c r="I8" s="29"/>
      <c r="J8" s="29"/>
      <c r="K8" s="29"/>
      <c r="L8" s="29"/>
      <c r="M8" s="4"/>
      <c r="N8" s="306" t="s">
        <v>26</v>
      </c>
      <c r="O8" s="13" t="s">
        <v>27</v>
      </c>
      <c r="P8" s="33">
        <f>I21+I22+I23+I24+I25</f>
        <v>3452.9850000000001</v>
      </c>
      <c r="Q8" s="33">
        <f>J21+J22+J23+J24+J25</f>
        <v>1150.9949999999999</v>
      </c>
      <c r="R8" s="34">
        <f>P8+Q8</f>
        <v>4603.9799999999996</v>
      </c>
    </row>
    <row r="9" spans="1:18" ht="15.75" thickBot="1" x14ac:dyDescent="0.3">
      <c r="A9" s="3"/>
      <c r="B9" s="4"/>
      <c r="C9" s="4"/>
      <c r="D9" s="29"/>
      <c r="E9" s="29"/>
      <c r="F9" s="29"/>
      <c r="G9" s="29"/>
      <c r="H9" s="29"/>
      <c r="I9" s="29"/>
      <c r="J9" s="29"/>
      <c r="K9" s="29"/>
      <c r="L9" s="29"/>
      <c r="M9" s="4"/>
      <c r="N9" s="307"/>
      <c r="O9" s="12" t="s">
        <v>28</v>
      </c>
      <c r="P9" s="177">
        <f>P8</f>
        <v>3452.9850000000001</v>
      </c>
      <c r="Q9" s="177">
        <f>Q8</f>
        <v>1150.9949999999999</v>
      </c>
      <c r="R9" s="177">
        <f>R8</f>
        <v>4603.9799999999996</v>
      </c>
    </row>
    <row r="10" spans="1:18" ht="16.5" thickTop="1" thickBot="1" x14ac:dyDescent="0.3">
      <c r="A10" s="330" t="s">
        <v>180</v>
      </c>
      <c r="B10" s="329"/>
      <c r="C10" s="329"/>
      <c r="D10" s="329"/>
      <c r="E10" s="329"/>
      <c r="F10" s="329"/>
      <c r="G10" s="329"/>
      <c r="H10" s="329"/>
      <c r="I10" s="329"/>
      <c r="J10" s="329"/>
      <c r="K10" s="329"/>
      <c r="L10" s="329"/>
      <c r="M10" s="329"/>
      <c r="N10" s="14" t="s">
        <v>29</v>
      </c>
      <c r="O10" s="15" t="s">
        <v>0</v>
      </c>
      <c r="P10" s="37">
        <f>P5+P7+P9</f>
        <v>10024.335000000001</v>
      </c>
      <c r="Q10" s="37">
        <f>Q5+Q7+Q9</f>
        <v>1203.1949999999999</v>
      </c>
      <c r="R10" s="38">
        <f>R5+R7+R9</f>
        <v>11227.529999999999</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7.2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7.2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9.5" customHeight="1" thickBot="1" x14ac:dyDescent="0.3">
      <c r="A17" s="18" t="s">
        <v>91</v>
      </c>
      <c r="B17" s="19" t="s">
        <v>184</v>
      </c>
      <c r="C17" s="19" t="s">
        <v>43</v>
      </c>
      <c r="D17" s="20"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9.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53.2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1376</v>
      </c>
      <c r="I21" s="105">
        <f>258*2</f>
        <v>516</v>
      </c>
      <c r="J21" s="105">
        <f>86*2</f>
        <v>172</v>
      </c>
      <c r="K21" s="105">
        <v>0</v>
      </c>
      <c r="L21" s="105">
        <f>344*2</f>
        <v>688</v>
      </c>
      <c r="M21" s="106">
        <v>0</v>
      </c>
      <c r="N21" s="128"/>
      <c r="O21" s="148">
        <f>344*2</f>
        <v>688</v>
      </c>
      <c r="P21" s="151">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0.75*O22</f>
        <v>0</v>
      </c>
      <c r="J22" s="110">
        <f>0.25*O22</f>
        <v>0</v>
      </c>
      <c r="K22" s="110">
        <v>0</v>
      </c>
      <c r="L22" s="110">
        <f t="shared" ref="L22:L24" si="1">((I22+J22)/(100-P22))*P22</f>
        <v>0</v>
      </c>
      <c r="M22" s="111">
        <v>0</v>
      </c>
      <c r="N22" s="123"/>
      <c r="O22" s="150">
        <v>0</v>
      </c>
      <c r="P22" s="152">
        <v>20</v>
      </c>
      <c r="Q22" s="62"/>
      <c r="R22" s="55"/>
    </row>
    <row r="23" spans="1:18" ht="39" customHeight="1" thickBot="1" x14ac:dyDescent="0.3">
      <c r="A23" s="18" t="s">
        <v>150</v>
      </c>
      <c r="B23" s="19" t="s">
        <v>191</v>
      </c>
      <c r="C23" s="19" t="s">
        <v>43</v>
      </c>
      <c r="D23" s="20" t="s">
        <v>27</v>
      </c>
      <c r="E23" s="107">
        <v>6</v>
      </c>
      <c r="F23" s="134" t="s">
        <v>202</v>
      </c>
      <c r="G23" s="138" t="s">
        <v>203</v>
      </c>
      <c r="H23" s="110">
        <f t="shared" si="0"/>
        <v>8000</v>
      </c>
      <c r="I23" s="110">
        <f>1350*2</f>
        <v>2700</v>
      </c>
      <c r="J23" s="110">
        <f>450*2</f>
        <v>900</v>
      </c>
      <c r="K23" s="110">
        <v>0</v>
      </c>
      <c r="L23" s="110">
        <f>2200*2</f>
        <v>4400</v>
      </c>
      <c r="M23" s="111">
        <v>0</v>
      </c>
      <c r="N23" s="123"/>
      <c r="O23" s="150">
        <f>1800*2</f>
        <v>3600</v>
      </c>
      <c r="P23" s="152">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 t="shared" si="1"/>
        <v>0</v>
      </c>
      <c r="M24" s="111">
        <v>0</v>
      </c>
      <c r="N24" s="123"/>
      <c r="O24" s="150">
        <v>0</v>
      </c>
      <c r="P24" s="152">
        <v>50</v>
      </c>
      <c r="Q24" s="62"/>
      <c r="R24" s="55"/>
    </row>
    <row r="25" spans="1:18" ht="39" customHeight="1" thickBot="1" x14ac:dyDescent="0.3">
      <c r="A25" s="26" t="s">
        <v>153</v>
      </c>
      <c r="B25" s="27" t="s">
        <v>193</v>
      </c>
      <c r="C25" s="27" t="s">
        <v>43</v>
      </c>
      <c r="D25" s="136" t="s">
        <v>27</v>
      </c>
      <c r="E25" s="137">
        <v>6</v>
      </c>
      <c r="F25" s="136" t="s">
        <v>202</v>
      </c>
      <c r="G25" s="142" t="s">
        <v>204</v>
      </c>
      <c r="H25" s="139">
        <f t="shared" si="0"/>
        <v>394.98</v>
      </c>
      <c r="I25" s="139">
        <f>0.75*O25</f>
        <v>236.98500000000001</v>
      </c>
      <c r="J25" s="139">
        <f>0.25*O25</f>
        <v>78.995000000000005</v>
      </c>
      <c r="K25" s="139">
        <v>0</v>
      </c>
      <c r="L25" s="139">
        <v>79</v>
      </c>
      <c r="M25" s="140">
        <v>0</v>
      </c>
      <c r="N25" s="125"/>
      <c r="O25" s="146">
        <v>315.98</v>
      </c>
      <c r="P25" s="153">
        <v>20</v>
      </c>
      <c r="Q25" s="64"/>
      <c r="R25" s="58"/>
    </row>
    <row r="26" spans="1:18" ht="50.25" customHeight="1" thickBot="1" x14ac:dyDescent="0.3">
      <c r="A26" s="65" t="s">
        <v>154</v>
      </c>
      <c r="B26" s="66" t="s">
        <v>194</v>
      </c>
      <c r="C26" s="66" t="s">
        <v>43</v>
      </c>
      <c r="D26" s="132" t="s">
        <v>44</v>
      </c>
      <c r="E26" s="117" t="s">
        <v>47</v>
      </c>
      <c r="F26" s="102">
        <v>3</v>
      </c>
      <c r="G26" s="141" t="s">
        <v>205</v>
      </c>
      <c r="H26" s="105">
        <v>522.08000000000004</v>
      </c>
      <c r="I26" s="105">
        <v>443.77</v>
      </c>
      <c r="J26" s="105">
        <v>26.1</v>
      </c>
      <c r="K26" s="105">
        <v>13.05</v>
      </c>
      <c r="L26" s="105">
        <v>39.159999999999997</v>
      </c>
      <c r="M26" s="106">
        <v>0</v>
      </c>
      <c r="N26" s="147"/>
      <c r="O26" s="148">
        <v>522.08000000000004</v>
      </c>
      <c r="P26" s="151">
        <v>0</v>
      </c>
      <c r="Q26" s="73" t="s">
        <v>45</v>
      </c>
      <c r="R26" s="53"/>
    </row>
    <row r="27" spans="1:18" ht="84" customHeight="1" thickBot="1" x14ac:dyDescent="0.3">
      <c r="A27" s="18" t="s">
        <v>91</v>
      </c>
      <c r="B27" s="19" t="s">
        <v>195</v>
      </c>
      <c r="C27" s="19" t="s">
        <v>43</v>
      </c>
      <c r="D27" s="134" t="s">
        <v>44</v>
      </c>
      <c r="E27" s="119">
        <v>2</v>
      </c>
      <c r="F27" s="107">
        <v>3</v>
      </c>
      <c r="G27" s="138" t="s">
        <v>48</v>
      </c>
      <c r="H27" s="110">
        <v>130.52000000000001</v>
      </c>
      <c r="I27" s="110">
        <v>110.94</v>
      </c>
      <c r="J27" s="110">
        <v>16.32</v>
      </c>
      <c r="K27" s="110">
        <v>3.26</v>
      </c>
      <c r="L27" s="110">
        <v>0</v>
      </c>
      <c r="M27" s="111">
        <v>0</v>
      </c>
      <c r="N27" s="149"/>
      <c r="O27" s="150">
        <v>130.52000000000001</v>
      </c>
      <c r="P27" s="152">
        <v>0</v>
      </c>
      <c r="Q27" s="74" t="s">
        <v>199</v>
      </c>
      <c r="R27" s="55"/>
    </row>
    <row r="28" spans="1:18" ht="57.75" customHeight="1" thickBot="1" x14ac:dyDescent="0.3">
      <c r="A28" s="18" t="s">
        <v>154</v>
      </c>
      <c r="B28" s="19" t="s">
        <v>196</v>
      </c>
      <c r="C28" s="19" t="s">
        <v>43</v>
      </c>
      <c r="D28" s="134" t="s">
        <v>44</v>
      </c>
      <c r="E28" s="119" t="s">
        <v>47</v>
      </c>
      <c r="F28" s="107">
        <v>3</v>
      </c>
      <c r="G28" s="138" t="s">
        <v>48</v>
      </c>
      <c r="H28" s="110">
        <v>195.68</v>
      </c>
      <c r="I28" s="110">
        <v>166.34</v>
      </c>
      <c r="J28" s="110">
        <v>9.7799999999999994</v>
      </c>
      <c r="K28" s="110">
        <v>9.7799999999999994</v>
      </c>
      <c r="L28" s="110">
        <v>9.7799999999999994</v>
      </c>
      <c r="M28" s="111">
        <v>0</v>
      </c>
      <c r="N28" s="149"/>
      <c r="O28" s="150">
        <v>195.68</v>
      </c>
      <c r="P28" s="152">
        <v>0</v>
      </c>
      <c r="Q28" s="74" t="s">
        <v>49</v>
      </c>
      <c r="R28" s="55"/>
    </row>
    <row r="29" spans="1:18" ht="55.5" customHeight="1" thickBot="1" x14ac:dyDescent="0.3">
      <c r="A29" s="26" t="s">
        <v>172</v>
      </c>
      <c r="B29" s="27" t="s">
        <v>197</v>
      </c>
      <c r="C29" s="27" t="s">
        <v>43</v>
      </c>
      <c r="D29" s="143" t="s">
        <v>44</v>
      </c>
      <c r="E29" s="121" t="s">
        <v>47</v>
      </c>
      <c r="F29" s="112">
        <v>3</v>
      </c>
      <c r="G29" s="144" t="s">
        <v>48</v>
      </c>
      <c r="H29" s="115">
        <v>456.83</v>
      </c>
      <c r="I29" s="115">
        <v>388.31</v>
      </c>
      <c r="J29" s="115">
        <v>0</v>
      </c>
      <c r="K29" s="115">
        <v>0</v>
      </c>
      <c r="L29" s="115">
        <v>68.52</v>
      </c>
      <c r="M29" s="116">
        <v>0</v>
      </c>
      <c r="N29" s="154"/>
      <c r="O29" s="146">
        <v>456.83</v>
      </c>
      <c r="P29" s="63">
        <v>15</v>
      </c>
      <c r="Q29" s="75" t="s">
        <v>50</v>
      </c>
      <c r="R29" s="58"/>
    </row>
    <row r="30" spans="1:18" ht="15.75" thickBot="1" x14ac:dyDescent="0.3">
      <c r="A30" s="309" t="s">
        <v>0</v>
      </c>
      <c r="B30" s="310"/>
      <c r="C30" s="310"/>
      <c r="D30" s="310"/>
      <c r="E30" s="310"/>
      <c r="F30" s="311"/>
      <c r="G30" s="22"/>
      <c r="H30" s="23">
        <f t="shared" ref="H30:M30" si="2">SUM(H15:H29)</f>
        <v>16825.550000000003</v>
      </c>
      <c r="I30" s="23">
        <f t="shared" si="2"/>
        <v>10024.335000000001</v>
      </c>
      <c r="J30" s="23">
        <f t="shared" si="2"/>
        <v>1203.1949999999997</v>
      </c>
      <c r="K30" s="23">
        <f t="shared" si="2"/>
        <v>277.77</v>
      </c>
      <c r="L30" s="23">
        <f t="shared" si="2"/>
        <v>5320.25</v>
      </c>
      <c r="M30" s="23">
        <f t="shared" si="2"/>
        <v>0</v>
      </c>
      <c r="O30" s="21">
        <f>I30+J30</f>
        <v>11227.53</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abSelected="1" zoomScale="80" zoomScaleNormal="80" zoomScaleSheetLayoutView="110" workbookViewId="0">
      <selection activeCell="E4" sqref="E4"/>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6.140625" customWidth="1"/>
    <col min="18" max="18" width="14.7109375" customWidth="1"/>
  </cols>
  <sheetData>
    <row r="1" spans="1:18" ht="37.5" customHeight="1" thickBot="1" x14ac:dyDescent="0.3">
      <c r="A1" s="327" t="s">
        <v>289</v>
      </c>
      <c r="B1" s="328"/>
      <c r="C1" s="328"/>
      <c r="D1" s="328"/>
      <c r="E1" s="328"/>
      <c r="F1" s="328"/>
      <c r="G1" s="328"/>
      <c r="H1" s="328"/>
      <c r="I1" s="328"/>
      <c r="J1" s="328"/>
      <c r="K1" s="328"/>
      <c r="L1" s="328"/>
      <c r="M1" s="328"/>
      <c r="N1" s="354" t="s">
        <v>304</v>
      </c>
      <c r="O1" s="354"/>
      <c r="P1" s="354"/>
      <c r="Q1" s="354"/>
      <c r="R1" s="354"/>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181</v>
      </c>
      <c r="B10" s="329"/>
      <c r="C10" s="329"/>
      <c r="D10" s="329"/>
      <c r="E10" s="329"/>
      <c r="F10" s="329"/>
      <c r="G10" s="329"/>
      <c r="H10" s="329"/>
      <c r="I10" s="329"/>
      <c r="J10" s="329"/>
      <c r="K10" s="329"/>
      <c r="L10" s="329"/>
      <c r="M10" s="329"/>
      <c r="N10" s="14" t="s">
        <v>29</v>
      </c>
      <c r="O10" s="15" t="s">
        <v>0</v>
      </c>
      <c r="P10" s="37">
        <f>P5+P7+P9</f>
        <v>5461.99</v>
      </c>
      <c r="Q10" s="37">
        <f>Q5+Q7+Q9</f>
        <v>0</v>
      </c>
      <c r="R10" s="38">
        <f>R5+R7+R9</f>
        <v>5461.99</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6.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6.5" customHeight="1" thickBot="1" x14ac:dyDescent="0.3">
      <c r="A17" s="18" t="s">
        <v>91</v>
      </c>
      <c r="B17" s="19" t="s">
        <v>184</v>
      </c>
      <c r="C17" s="19" t="s">
        <v>43</v>
      </c>
      <c r="D17" s="20" t="s">
        <v>21</v>
      </c>
      <c r="E17" s="107">
        <v>4</v>
      </c>
      <c r="F17" s="134" t="s">
        <v>200</v>
      </c>
      <c r="G17" s="135" t="s">
        <v>201</v>
      </c>
      <c r="H17" s="110">
        <f t="shared" ref="H17:H29" si="0">I17+J17+K17+L17</f>
        <v>1012.62</v>
      </c>
      <c r="I17" s="110">
        <f>817.69+144.3</f>
        <v>961.99</v>
      </c>
      <c r="J17" s="110">
        <v>0</v>
      </c>
      <c r="K17" s="110">
        <v>50.63</v>
      </c>
      <c r="L17" s="110">
        <v>0</v>
      </c>
      <c r="M17" s="111">
        <v>0</v>
      </c>
      <c r="N17" s="44"/>
      <c r="O17" s="54">
        <v>961.99</v>
      </c>
      <c r="P17" s="44"/>
      <c r="Q17" s="44"/>
      <c r="R17" s="55"/>
    </row>
    <row r="18" spans="1:18" ht="51.75"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8.7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6.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v>0</v>
      </c>
      <c r="I21" s="105">
        <v>0</v>
      </c>
      <c r="J21" s="105">
        <v>0</v>
      </c>
      <c r="K21" s="105">
        <v>0</v>
      </c>
      <c r="L21" s="105">
        <v>0</v>
      </c>
      <c r="M21" s="106">
        <v>0</v>
      </c>
      <c r="N21" s="128"/>
      <c r="O21" s="148">
        <v>0</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 t="shared" ref="I22:I29" si="1">0.75*O22</f>
        <v>0</v>
      </c>
      <c r="J22" s="110">
        <f t="shared" ref="J22:J29" si="2">0.25*O22</f>
        <v>0</v>
      </c>
      <c r="K22" s="110">
        <v>0</v>
      </c>
      <c r="L22" s="110">
        <f t="shared" ref="L22:L29" si="3">((I22+J22)/(100-P22))*P22</f>
        <v>0</v>
      </c>
      <c r="M22" s="111">
        <v>0</v>
      </c>
      <c r="N22" s="123"/>
      <c r="O22" s="150">
        <v>0</v>
      </c>
      <c r="P22" s="61">
        <v>20</v>
      </c>
      <c r="Q22" s="62"/>
      <c r="R22" s="55"/>
    </row>
    <row r="23" spans="1:18" ht="39" customHeight="1" thickBot="1" x14ac:dyDescent="0.3">
      <c r="A23" s="18" t="s">
        <v>150</v>
      </c>
      <c r="B23" s="19" t="s">
        <v>191</v>
      </c>
      <c r="C23" s="19" t="s">
        <v>43</v>
      </c>
      <c r="D23" s="20" t="s">
        <v>27</v>
      </c>
      <c r="E23" s="107">
        <v>6</v>
      </c>
      <c r="F23" s="134" t="s">
        <v>202</v>
      </c>
      <c r="G23" s="138" t="s">
        <v>203</v>
      </c>
      <c r="H23" s="110">
        <v>0</v>
      </c>
      <c r="I23" s="110">
        <v>0</v>
      </c>
      <c r="J23" s="110">
        <v>0</v>
      </c>
      <c r="K23" s="110">
        <v>0</v>
      </c>
      <c r="L23" s="110">
        <v>0</v>
      </c>
      <c r="M23" s="111">
        <v>0</v>
      </c>
      <c r="N23" s="123"/>
      <c r="O23" s="150">
        <v>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 t="shared" si="1"/>
        <v>0</v>
      </c>
      <c r="J24" s="110">
        <f t="shared" si="2"/>
        <v>0</v>
      </c>
      <c r="K24" s="110">
        <v>0</v>
      </c>
      <c r="L24" s="110">
        <f t="shared" si="3"/>
        <v>0</v>
      </c>
      <c r="M24" s="111">
        <v>0</v>
      </c>
      <c r="N24" s="123"/>
      <c r="O24" s="150">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0</v>
      </c>
      <c r="I25" s="139">
        <f t="shared" si="1"/>
        <v>0</v>
      </c>
      <c r="J25" s="139">
        <f t="shared" si="2"/>
        <v>0</v>
      </c>
      <c r="K25" s="139">
        <v>0</v>
      </c>
      <c r="L25" s="139">
        <f t="shared" si="3"/>
        <v>0</v>
      </c>
      <c r="M25" s="140">
        <v>0</v>
      </c>
      <c r="N25" s="125"/>
      <c r="O25" s="146">
        <v>0</v>
      </c>
      <c r="P25" s="63">
        <v>20</v>
      </c>
      <c r="Q25" s="64"/>
      <c r="R25" s="58"/>
    </row>
    <row r="26" spans="1:18" ht="52.5" customHeight="1" thickBot="1" x14ac:dyDescent="0.3">
      <c r="A26" s="65" t="s">
        <v>154</v>
      </c>
      <c r="B26" s="66" t="s">
        <v>194</v>
      </c>
      <c r="C26" s="66" t="s">
        <v>43</v>
      </c>
      <c r="D26" s="51" t="s">
        <v>44</v>
      </c>
      <c r="E26" s="117" t="s">
        <v>47</v>
      </c>
      <c r="F26" s="102">
        <v>3</v>
      </c>
      <c r="G26" s="141" t="s">
        <v>205</v>
      </c>
      <c r="H26" s="105">
        <f t="shared" si="0"/>
        <v>0</v>
      </c>
      <c r="I26" s="105">
        <f t="shared" si="1"/>
        <v>0</v>
      </c>
      <c r="J26" s="105">
        <f t="shared" si="2"/>
        <v>0</v>
      </c>
      <c r="K26" s="105">
        <v>0</v>
      </c>
      <c r="L26" s="105">
        <f t="shared" si="3"/>
        <v>0</v>
      </c>
      <c r="M26" s="106">
        <v>0</v>
      </c>
      <c r="N26" s="147"/>
      <c r="O26" s="148">
        <v>0</v>
      </c>
      <c r="P26" s="59">
        <v>0</v>
      </c>
      <c r="Q26" s="73" t="s">
        <v>45</v>
      </c>
      <c r="R26" s="53"/>
    </row>
    <row r="27" spans="1:18" ht="84" customHeight="1" thickBot="1" x14ac:dyDescent="0.3">
      <c r="A27" s="18" t="s">
        <v>91</v>
      </c>
      <c r="B27" s="19" t="s">
        <v>195</v>
      </c>
      <c r="C27" s="19" t="s">
        <v>43</v>
      </c>
      <c r="D27" s="20" t="s">
        <v>44</v>
      </c>
      <c r="E27" s="119">
        <v>2</v>
      </c>
      <c r="F27" s="107">
        <v>3</v>
      </c>
      <c r="G27" s="138" t="s">
        <v>48</v>
      </c>
      <c r="H27" s="110">
        <f t="shared" si="0"/>
        <v>0</v>
      </c>
      <c r="I27" s="110">
        <f t="shared" si="1"/>
        <v>0</v>
      </c>
      <c r="J27" s="110">
        <f t="shared" si="2"/>
        <v>0</v>
      </c>
      <c r="K27" s="110">
        <v>0</v>
      </c>
      <c r="L27" s="110">
        <f t="shared" si="3"/>
        <v>0</v>
      </c>
      <c r="M27" s="111">
        <v>0</v>
      </c>
      <c r="N27" s="149"/>
      <c r="O27" s="150">
        <v>0</v>
      </c>
      <c r="P27" s="61">
        <v>0</v>
      </c>
      <c r="Q27" s="74" t="s">
        <v>199</v>
      </c>
      <c r="R27" s="55"/>
    </row>
    <row r="28" spans="1:18" ht="52.5" customHeight="1" thickBot="1" x14ac:dyDescent="0.3">
      <c r="A28" s="18" t="s">
        <v>154</v>
      </c>
      <c r="B28" s="19" t="s">
        <v>196</v>
      </c>
      <c r="C28" s="19" t="s">
        <v>43</v>
      </c>
      <c r="D28" s="20" t="s">
        <v>44</v>
      </c>
      <c r="E28" s="119" t="s">
        <v>47</v>
      </c>
      <c r="F28" s="107">
        <v>3</v>
      </c>
      <c r="G28" s="138" t="s">
        <v>48</v>
      </c>
      <c r="H28" s="110">
        <f t="shared" si="0"/>
        <v>0</v>
      </c>
      <c r="I28" s="110">
        <f t="shared" si="1"/>
        <v>0</v>
      </c>
      <c r="J28" s="110">
        <f t="shared" si="2"/>
        <v>0</v>
      </c>
      <c r="K28" s="110">
        <v>0</v>
      </c>
      <c r="L28" s="110">
        <f t="shared" si="3"/>
        <v>0</v>
      </c>
      <c r="M28" s="111">
        <v>0</v>
      </c>
      <c r="N28" s="149"/>
      <c r="O28" s="150">
        <v>0</v>
      </c>
      <c r="P28" s="61">
        <v>0</v>
      </c>
      <c r="Q28" s="74" t="s">
        <v>49</v>
      </c>
      <c r="R28" s="55"/>
    </row>
    <row r="29" spans="1:18" ht="51.75" customHeight="1" thickBot="1" x14ac:dyDescent="0.3">
      <c r="A29" s="26" t="s">
        <v>172</v>
      </c>
      <c r="B29" s="27" t="s">
        <v>197</v>
      </c>
      <c r="C29" s="27" t="s">
        <v>43</v>
      </c>
      <c r="D29" s="70" t="s">
        <v>44</v>
      </c>
      <c r="E29" s="121" t="s">
        <v>47</v>
      </c>
      <c r="F29" s="112">
        <v>3</v>
      </c>
      <c r="G29" s="144" t="s">
        <v>48</v>
      </c>
      <c r="H29" s="115">
        <f t="shared" si="0"/>
        <v>0</v>
      </c>
      <c r="I29" s="115">
        <f t="shared" si="1"/>
        <v>0</v>
      </c>
      <c r="J29" s="115">
        <f t="shared" si="2"/>
        <v>0</v>
      </c>
      <c r="K29" s="115">
        <v>0</v>
      </c>
      <c r="L29" s="115">
        <f t="shared" si="3"/>
        <v>0</v>
      </c>
      <c r="M29" s="116">
        <v>0</v>
      </c>
      <c r="N29" s="154"/>
      <c r="O29" s="146">
        <v>0</v>
      </c>
      <c r="P29" s="63">
        <v>15</v>
      </c>
      <c r="Q29" s="75" t="s">
        <v>50</v>
      </c>
      <c r="R29" s="58"/>
    </row>
    <row r="30" spans="1:18" ht="15.75" thickBot="1" x14ac:dyDescent="0.3">
      <c r="A30" s="309" t="s">
        <v>0</v>
      </c>
      <c r="B30" s="310"/>
      <c r="C30" s="310"/>
      <c r="D30" s="310"/>
      <c r="E30" s="310"/>
      <c r="F30" s="311"/>
      <c r="G30" s="22"/>
      <c r="H30" s="23">
        <f t="shared" ref="H30:M30" si="4">SUM(H15:H29)</f>
        <v>5749.4600000000009</v>
      </c>
      <c r="I30" s="23">
        <f t="shared" si="4"/>
        <v>5461.99</v>
      </c>
      <c r="J30" s="23">
        <f t="shared" si="4"/>
        <v>0</v>
      </c>
      <c r="K30" s="23">
        <f t="shared" si="4"/>
        <v>251.68</v>
      </c>
      <c r="L30" s="23">
        <f t="shared" si="4"/>
        <v>35.79</v>
      </c>
      <c r="M30" s="23">
        <f t="shared" si="4"/>
        <v>0</v>
      </c>
      <c r="O30" s="21">
        <f>I30+J30</f>
        <v>5461.99</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f. Financování dle OP 2016</vt:lpstr>
      <vt:lpstr>f. Financování dle OP 2017</vt:lpstr>
      <vt:lpstr>f. Financování dle OP 2018</vt:lpstr>
      <vt:lpstr>f. Financování dle OP 2019</vt:lpstr>
      <vt:lpstr>f. Financování dle OP 2020</vt:lpstr>
      <vt:lpstr>f. Financování dle OP 2021</vt:lpstr>
      <vt:lpstr>f. Financování dle OP 2022</vt:lpstr>
      <vt:lpstr>f. Financování dle OP 2023</vt:lpstr>
      <vt:lpstr>f. Financování dle OP celkem</vt:lpstr>
      <vt:lpstr>e. a h. Financování dle CLLD</vt:lpstr>
      <vt:lpstr>g. Indikátory</vt:lpstr>
      <vt:lpstr>e. a h. Financování CLLD 2016</vt:lpstr>
      <vt:lpstr>e. a h. Financování CLLD 2017</vt:lpstr>
      <vt:lpstr>e. a h. Financování CLLD 2018</vt:lpstr>
      <vt:lpstr>e. a h. Financování CLLD 2019</vt:lpstr>
      <vt:lpstr>e. a h. Financování CLLD 2020</vt:lpstr>
      <vt:lpstr>e. a h. Fincování CLLD 2021</vt:lpstr>
      <vt:lpstr>e. a h. Financování CLLD 2022</vt:lpstr>
      <vt:lpstr>e. a h. Financování CLLD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Patejl</dc:creator>
  <cp:lastModifiedBy>Robert Kubala</cp:lastModifiedBy>
  <cp:lastPrinted>2018-12-06T07:39:08Z</cp:lastPrinted>
  <dcterms:created xsi:type="dcterms:W3CDTF">2016-02-28T12:26:29Z</dcterms:created>
  <dcterms:modified xsi:type="dcterms:W3CDTF">2019-08-27T12:36:09Z</dcterms:modified>
</cp:coreProperties>
</file>