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0730" windowHeight="11670" activeTab="10"/>
  </bookViews>
  <sheets>
    <sheet name="f. Financování dle OP 2016" sheetId="4" r:id="rId1"/>
    <sheet name="f. Financování dle OP 2017" sheetId="15" r:id="rId2"/>
    <sheet name="f. Financování dle OP 2018" sheetId="16" r:id="rId3"/>
    <sheet name="f. Financování dle OP 2019" sheetId="14" r:id="rId4"/>
    <sheet name="f. Financování dle OP 2020" sheetId="17" r:id="rId5"/>
    <sheet name="f. Financování dle OP 2021" sheetId="18" r:id="rId6"/>
    <sheet name="f. Financování dle OP 2022" sheetId="19" r:id="rId7"/>
    <sheet name="f. Financování dle OP 2023" sheetId="20" r:id="rId8"/>
    <sheet name="f. Financování dle OP celkem" sheetId="29" r:id="rId9"/>
    <sheet name="e. a h. Financování dle CLLD" sheetId="12" r:id="rId10"/>
    <sheet name="g. Indikátory" sheetId="13" r:id="rId11"/>
    <sheet name="e. a h. Financování CLLD 2016" sheetId="21" r:id="rId12"/>
    <sheet name="e. a h. Financování CLLD 2017" sheetId="22" r:id="rId13"/>
    <sheet name="e. a h. Financování CLLD 2018" sheetId="23" r:id="rId14"/>
    <sheet name="e. a h. Financování CLLD 2019" sheetId="24" r:id="rId15"/>
    <sheet name="e. a h. Financování CLLD 2020" sheetId="25" r:id="rId16"/>
    <sheet name="e. a h. Fincování CLLD 2021" sheetId="26" r:id="rId17"/>
    <sheet name="e. a h. Financování CLLD 2022" sheetId="27" r:id="rId18"/>
    <sheet name="e. a h. Financování CLLD 2023" sheetId="28" r:id="rId19"/>
  </sheets>
  <calcPr calcId="145621"/>
</workbook>
</file>

<file path=xl/calcChain.xml><?xml version="1.0" encoding="utf-8"?>
<calcChain xmlns="http://schemas.openxmlformats.org/spreadsheetml/2006/main">
  <c r="L29" i="27" l="1"/>
  <c r="I28" i="25"/>
  <c r="H26" i="25"/>
  <c r="P6" i="23"/>
  <c r="F34" i="16" l="1"/>
  <c r="G34" i="16"/>
  <c r="E34" i="16"/>
  <c r="F34" i="14"/>
  <c r="G34" i="14"/>
  <c r="E34" i="14"/>
  <c r="F34" i="17"/>
  <c r="G34" i="17"/>
  <c r="E34" i="17"/>
  <c r="F34" i="18"/>
  <c r="G34" i="18"/>
  <c r="E34" i="18"/>
  <c r="F34" i="19"/>
  <c r="G34" i="19"/>
  <c r="E34" i="19"/>
  <c r="G44" i="29" l="1"/>
  <c r="F44" i="29"/>
  <c r="Q6" i="12" l="1"/>
  <c r="M29" i="29"/>
  <c r="I26" i="29" l="1"/>
  <c r="G26" i="29"/>
  <c r="F26" i="29"/>
  <c r="Q7" i="12"/>
  <c r="L25" i="12"/>
  <c r="J25" i="12"/>
  <c r="I25" i="12"/>
  <c r="Q7" i="26"/>
  <c r="Q6" i="26"/>
  <c r="R9" i="25"/>
  <c r="R8" i="25"/>
  <c r="Q6" i="25"/>
  <c r="Q7" i="25" s="1"/>
  <c r="Q6" i="24"/>
  <c r="Q7" i="24" s="1"/>
  <c r="Q7" i="23"/>
  <c r="Q6" i="23"/>
  <c r="K29" i="12"/>
  <c r="Q6" i="27"/>
  <c r="Q7" i="27" s="1"/>
  <c r="F19" i="17"/>
  <c r="I20" i="19"/>
  <c r="G16" i="19"/>
  <c r="L25" i="23"/>
  <c r="J25" i="23"/>
  <c r="Q8" i="23" s="1"/>
  <c r="Q9" i="23" s="1"/>
  <c r="I25" i="23"/>
  <c r="Q8" i="28"/>
  <c r="Q9" i="28" s="1"/>
  <c r="P8" i="28"/>
  <c r="P9" i="28" s="1"/>
  <c r="Q7" i="28"/>
  <c r="Q6" i="28"/>
  <c r="P6" i="28"/>
  <c r="R6" i="28" s="1"/>
  <c r="R7" i="28" s="1"/>
  <c r="Q3" i="28"/>
  <c r="Q5" i="28" s="1"/>
  <c r="Q10" i="28" s="1"/>
  <c r="P3" i="28"/>
  <c r="P5" i="28" s="1"/>
  <c r="Q8" i="27"/>
  <c r="Q9" i="27" s="1"/>
  <c r="P8" i="27"/>
  <c r="P9" i="27" s="1"/>
  <c r="P6" i="27"/>
  <c r="Q3" i="27"/>
  <c r="Q5" i="27" s="1"/>
  <c r="P3" i="27"/>
  <c r="P5" i="27" s="1"/>
  <c r="Q8" i="26"/>
  <c r="Q9" i="26" s="1"/>
  <c r="P8" i="26"/>
  <c r="P9" i="26" s="1"/>
  <c r="Q3" i="26"/>
  <c r="Q5" i="26" s="1"/>
  <c r="P3" i="26"/>
  <c r="P5" i="26" s="1"/>
  <c r="Q8" i="25"/>
  <c r="Q9" i="25" s="1"/>
  <c r="P8" i="25"/>
  <c r="P9" i="25" s="1"/>
  <c r="P6" i="25"/>
  <c r="Q3" i="25"/>
  <c r="Q5" i="25" s="1"/>
  <c r="P3" i="25"/>
  <c r="P5" i="25" s="1"/>
  <c r="Q8" i="24"/>
  <c r="Q9" i="24" s="1"/>
  <c r="P8" i="24"/>
  <c r="P9" i="24" s="1"/>
  <c r="Q3" i="24"/>
  <c r="Q5" i="24" s="1"/>
  <c r="P3" i="24"/>
  <c r="P5" i="24" s="1"/>
  <c r="P8" i="23"/>
  <c r="P9" i="23" s="1"/>
  <c r="Q3" i="23"/>
  <c r="Q5" i="23" s="1"/>
  <c r="P3" i="23"/>
  <c r="P5" i="23" s="1"/>
  <c r="Q8" i="22"/>
  <c r="Q9" i="22" s="1"/>
  <c r="P8" i="22"/>
  <c r="P9" i="22" s="1"/>
  <c r="Q7" i="22"/>
  <c r="P7" i="22"/>
  <c r="Q6" i="22"/>
  <c r="P6" i="22"/>
  <c r="R6" i="22" s="1"/>
  <c r="R7" i="22" s="1"/>
  <c r="Q3" i="22"/>
  <c r="Q5" i="22" s="1"/>
  <c r="Q10" i="22" s="1"/>
  <c r="P3" i="22"/>
  <c r="P5" i="22" s="1"/>
  <c r="P10" i="22" s="1"/>
  <c r="Q8" i="21"/>
  <c r="Q9" i="21" s="1"/>
  <c r="P8" i="21"/>
  <c r="P9" i="21" s="1"/>
  <c r="Q7" i="21"/>
  <c r="Q6" i="21"/>
  <c r="P6" i="21"/>
  <c r="R6" i="21" s="1"/>
  <c r="R7" i="21" s="1"/>
  <c r="Q3" i="21"/>
  <c r="Q5" i="21" s="1"/>
  <c r="Q10" i="21" s="1"/>
  <c r="P3" i="21"/>
  <c r="P5" i="21" s="1"/>
  <c r="Q8" i="12"/>
  <c r="Q9" i="12" s="1"/>
  <c r="P8" i="12"/>
  <c r="Q3" i="12"/>
  <c r="Q5" i="12" s="1"/>
  <c r="P3" i="12"/>
  <c r="P6" i="26" l="1"/>
  <c r="P6" i="24"/>
  <c r="P7" i="24" s="1"/>
  <c r="P10" i="24" s="1"/>
  <c r="P10" i="28"/>
  <c r="P7" i="28"/>
  <c r="R3" i="28"/>
  <c r="R5" i="28" s="1"/>
  <c r="R10" i="28" s="1"/>
  <c r="R8" i="28"/>
  <c r="R9" i="28" s="1"/>
  <c r="P7" i="27"/>
  <c r="P10" i="27" s="1"/>
  <c r="R3" i="27"/>
  <c r="R5" i="27" s="1"/>
  <c r="R8" i="27"/>
  <c r="R9" i="27" s="1"/>
  <c r="R3" i="26"/>
  <c r="R5" i="26" s="1"/>
  <c r="R8" i="26"/>
  <c r="R9" i="26" s="1"/>
  <c r="P7" i="25"/>
  <c r="P10" i="25" s="1"/>
  <c r="R3" i="25"/>
  <c r="R5" i="25" s="1"/>
  <c r="R3" i="24"/>
  <c r="R5" i="24" s="1"/>
  <c r="R8" i="24"/>
  <c r="R9" i="24" s="1"/>
  <c r="R3" i="23"/>
  <c r="R5" i="23" s="1"/>
  <c r="R8" i="23"/>
  <c r="R9" i="23" s="1"/>
  <c r="R3" i="22"/>
  <c r="R5" i="22" s="1"/>
  <c r="R10" i="22" s="1"/>
  <c r="R8" i="22"/>
  <c r="R9" i="22" s="1"/>
  <c r="P7" i="21"/>
  <c r="P10" i="21" s="1"/>
  <c r="R3" i="21"/>
  <c r="R5" i="21" s="1"/>
  <c r="R10" i="21" s="1"/>
  <c r="R8" i="21"/>
  <c r="R9" i="21" s="1"/>
  <c r="R8" i="12"/>
  <c r="R9" i="12" s="1"/>
  <c r="P9" i="12"/>
  <c r="P6" i="12"/>
  <c r="P7" i="12" s="1"/>
  <c r="R3" i="12"/>
  <c r="R5" i="12" s="1"/>
  <c r="P5" i="12"/>
  <c r="P10" i="12" l="1"/>
  <c r="P7" i="26"/>
  <c r="P10" i="26" s="1"/>
  <c r="P7" i="23"/>
  <c r="P10" i="23" s="1"/>
  <c r="J44" i="29" l="1"/>
  <c r="J43" i="29"/>
  <c r="I43" i="29"/>
  <c r="H43" i="29"/>
  <c r="G43" i="29"/>
  <c r="F43" i="29"/>
  <c r="J42" i="29"/>
  <c r="I42" i="29"/>
  <c r="H42" i="29"/>
  <c r="G42" i="29"/>
  <c r="F42" i="29"/>
  <c r="E42" i="29"/>
  <c r="J41" i="29"/>
  <c r="J45" i="29" s="1"/>
  <c r="I41" i="29"/>
  <c r="H41" i="29"/>
  <c r="G41" i="29"/>
  <c r="F41" i="29"/>
  <c r="F45" i="29" s="1"/>
  <c r="J34" i="20"/>
  <c r="I34" i="20"/>
  <c r="H34" i="20"/>
  <c r="G34" i="20"/>
  <c r="F34" i="20"/>
  <c r="E34" i="20" s="1"/>
  <c r="J33" i="20"/>
  <c r="I33" i="20"/>
  <c r="H33" i="20"/>
  <c r="G33" i="20"/>
  <c r="F33" i="20"/>
  <c r="E33" i="20" s="1"/>
  <c r="J32" i="20"/>
  <c r="I32" i="20"/>
  <c r="H32" i="20"/>
  <c r="G32" i="20"/>
  <c r="F32" i="20"/>
  <c r="E32" i="20" s="1"/>
  <c r="J31" i="20"/>
  <c r="J35" i="20" s="1"/>
  <c r="I31" i="20"/>
  <c r="I35" i="20" s="1"/>
  <c r="H31" i="20"/>
  <c r="H35" i="20" s="1"/>
  <c r="G31" i="20"/>
  <c r="G35" i="20" s="1"/>
  <c r="F31" i="20"/>
  <c r="F35" i="20" s="1"/>
  <c r="J34" i="19"/>
  <c r="H34" i="19"/>
  <c r="J33" i="19"/>
  <c r="I33" i="19"/>
  <c r="H33" i="19"/>
  <c r="G33" i="19"/>
  <c r="F33" i="19"/>
  <c r="J32" i="19"/>
  <c r="I32" i="19"/>
  <c r="H32" i="19"/>
  <c r="G32" i="19"/>
  <c r="F32" i="19"/>
  <c r="E32" i="19" s="1"/>
  <c r="J31" i="19"/>
  <c r="J35" i="19" s="1"/>
  <c r="I31" i="19"/>
  <c r="H31" i="19"/>
  <c r="G31" i="19"/>
  <c r="F31" i="19"/>
  <c r="J34" i="18"/>
  <c r="H34" i="18"/>
  <c r="J33" i="18"/>
  <c r="I33" i="18"/>
  <c r="H33" i="18"/>
  <c r="G33" i="18"/>
  <c r="E33" i="18" s="1"/>
  <c r="F33" i="18"/>
  <c r="J32" i="18"/>
  <c r="I32" i="18"/>
  <c r="H32" i="18"/>
  <c r="G32" i="18"/>
  <c r="F32" i="18"/>
  <c r="E32" i="18" s="1"/>
  <c r="J31" i="18"/>
  <c r="J35" i="18" s="1"/>
  <c r="I31" i="18"/>
  <c r="H31" i="18"/>
  <c r="G31" i="18"/>
  <c r="F31" i="18"/>
  <c r="F35" i="18" s="1"/>
  <c r="J34" i="17"/>
  <c r="H34" i="17"/>
  <c r="J33" i="17"/>
  <c r="I33" i="17"/>
  <c r="H33" i="17"/>
  <c r="G33" i="17"/>
  <c r="F33" i="17"/>
  <c r="E33" i="17"/>
  <c r="J32" i="17"/>
  <c r="I32" i="17"/>
  <c r="H32" i="17"/>
  <c r="G32" i="17"/>
  <c r="F32" i="17"/>
  <c r="E32" i="17" s="1"/>
  <c r="J31" i="17"/>
  <c r="J35" i="17" s="1"/>
  <c r="I31" i="17"/>
  <c r="H31" i="17"/>
  <c r="H35" i="17" s="1"/>
  <c r="G31" i="17"/>
  <c r="G35" i="17" s="1"/>
  <c r="F31" i="17"/>
  <c r="F35" i="17" s="1"/>
  <c r="E31" i="17"/>
  <c r="J34" i="14"/>
  <c r="H34" i="14"/>
  <c r="J33" i="14"/>
  <c r="I33" i="14"/>
  <c r="H33" i="14"/>
  <c r="G33" i="14"/>
  <c r="F33" i="14"/>
  <c r="E33" i="14" s="1"/>
  <c r="J32" i="14"/>
  <c r="I32" i="14"/>
  <c r="H32" i="14"/>
  <c r="G32" i="14"/>
  <c r="F32" i="14"/>
  <c r="E32" i="14" s="1"/>
  <c r="J31" i="14"/>
  <c r="J35" i="14" s="1"/>
  <c r="I31" i="14"/>
  <c r="H31" i="14"/>
  <c r="G31" i="14"/>
  <c r="F31" i="14"/>
  <c r="J34" i="16"/>
  <c r="H34" i="16"/>
  <c r="J33" i="16"/>
  <c r="I33" i="16"/>
  <c r="H33" i="16"/>
  <c r="G33" i="16"/>
  <c r="F33" i="16"/>
  <c r="J32" i="16"/>
  <c r="I32" i="16"/>
  <c r="H32" i="16"/>
  <c r="G32" i="16"/>
  <c r="F32" i="16"/>
  <c r="J31" i="16"/>
  <c r="F31" i="16"/>
  <c r="G31" i="16"/>
  <c r="H31" i="16"/>
  <c r="I31" i="16"/>
  <c r="J35" i="15"/>
  <c r="I35" i="15"/>
  <c r="I34" i="15"/>
  <c r="E34" i="15" s="1"/>
  <c r="G34" i="15"/>
  <c r="F34" i="15"/>
  <c r="I33" i="15"/>
  <c r="E33" i="15" s="1"/>
  <c r="G33" i="15"/>
  <c r="F33" i="15"/>
  <c r="I32" i="15"/>
  <c r="E32" i="15" s="1"/>
  <c r="G32" i="15"/>
  <c r="F32" i="15"/>
  <c r="H31" i="15"/>
  <c r="H35" i="15" s="1"/>
  <c r="G31" i="15"/>
  <c r="G35" i="15" s="1"/>
  <c r="F31" i="15"/>
  <c r="F35" i="15" s="1"/>
  <c r="J35" i="4"/>
  <c r="G34" i="4"/>
  <c r="F34" i="4"/>
  <c r="G33" i="4"/>
  <c r="F33" i="4"/>
  <c r="G32" i="4"/>
  <c r="F32" i="4"/>
  <c r="G31" i="4"/>
  <c r="G35" i="4" s="1"/>
  <c r="F31" i="4"/>
  <c r="H31" i="4" s="1"/>
  <c r="S25" i="12"/>
  <c r="J25" i="25"/>
  <c r="I25" i="25"/>
  <c r="N26" i="29"/>
  <c r="J25" i="27"/>
  <c r="I25" i="27"/>
  <c r="F16" i="19"/>
  <c r="H35" i="14" l="1"/>
  <c r="G35" i="14"/>
  <c r="G45" i="29"/>
  <c r="E43" i="29"/>
  <c r="F35" i="14"/>
  <c r="H35" i="18"/>
  <c r="G35" i="18"/>
  <c r="H35" i="19"/>
  <c r="F35" i="19"/>
  <c r="G35" i="19"/>
  <c r="E33" i="19"/>
  <c r="E41" i="29"/>
  <c r="E31" i="20"/>
  <c r="E35" i="20" s="1"/>
  <c r="E31" i="19"/>
  <c r="E31" i="18"/>
  <c r="E31" i="14"/>
  <c r="E33" i="16"/>
  <c r="J35" i="16"/>
  <c r="G35" i="16"/>
  <c r="E32" i="16"/>
  <c r="H35" i="16"/>
  <c r="F35" i="16"/>
  <c r="E31" i="15"/>
  <c r="E35" i="15" s="1"/>
  <c r="F35" i="4"/>
  <c r="H35" i="4"/>
  <c r="E31" i="4"/>
  <c r="I32" i="4"/>
  <c r="E32" i="4" s="1"/>
  <c r="I33" i="4"/>
  <c r="E33" i="4" s="1"/>
  <c r="I34" i="4"/>
  <c r="E34" i="4" s="1"/>
  <c r="E31" i="16" l="1"/>
  <c r="E35" i="4"/>
  <c r="I35" i="4"/>
  <c r="I44" i="29" l="1"/>
  <c r="I45" i="29" s="1"/>
  <c r="H44" i="29"/>
  <c r="I20" i="28"/>
  <c r="I19" i="28"/>
  <c r="I18" i="28"/>
  <c r="I17" i="28"/>
  <c r="I15" i="28"/>
  <c r="I20" i="27"/>
  <c r="I19" i="27"/>
  <c r="I18" i="27"/>
  <c r="I17" i="27"/>
  <c r="I15" i="27"/>
  <c r="I20" i="26"/>
  <c r="I19" i="26"/>
  <c r="I18" i="26"/>
  <c r="I17" i="26"/>
  <c r="I15" i="26"/>
  <c r="I20" i="25"/>
  <c r="I19" i="25"/>
  <c r="I18" i="25"/>
  <c r="I17" i="25"/>
  <c r="I15" i="25"/>
  <c r="I20" i="24"/>
  <c r="I19" i="24"/>
  <c r="I18" i="24"/>
  <c r="I17" i="24"/>
  <c r="I15" i="24"/>
  <c r="I19" i="23"/>
  <c r="I18" i="23"/>
  <c r="I17" i="23"/>
  <c r="I16" i="23"/>
  <c r="I15" i="23"/>
  <c r="F11" i="20"/>
  <c r="F10" i="20"/>
  <c r="F9" i="20"/>
  <c r="F8" i="20"/>
  <c r="F6" i="20"/>
  <c r="F11" i="19"/>
  <c r="F10" i="19"/>
  <c r="F9" i="19"/>
  <c r="F8" i="19"/>
  <c r="F6" i="19"/>
  <c r="F11" i="18"/>
  <c r="F10" i="18"/>
  <c r="F9" i="18"/>
  <c r="F8" i="18"/>
  <c r="F6" i="18"/>
  <c r="F11" i="17"/>
  <c r="F10" i="17"/>
  <c r="F9" i="17"/>
  <c r="F8" i="17"/>
  <c r="F6" i="17"/>
  <c r="F11" i="14"/>
  <c r="F10" i="14"/>
  <c r="G9" i="14"/>
  <c r="F9" i="14"/>
  <c r="F8" i="14"/>
  <c r="F6" i="14"/>
  <c r="F10" i="16"/>
  <c r="F9" i="16"/>
  <c r="F8" i="16"/>
  <c r="F7" i="16"/>
  <c r="F6" i="16"/>
  <c r="H45" i="29" l="1"/>
  <c r="E44" i="29"/>
  <c r="E45" i="29" s="1"/>
  <c r="L27" i="12" l="1"/>
  <c r="Q10" i="12" l="1"/>
  <c r="F21" i="29"/>
  <c r="F20" i="29"/>
  <c r="F19" i="29"/>
  <c r="F18" i="29"/>
  <c r="F17" i="29"/>
  <c r="F16" i="29"/>
  <c r="I20" i="12"/>
  <c r="I19" i="12"/>
  <c r="I18" i="12"/>
  <c r="I17" i="12"/>
  <c r="I16" i="12"/>
  <c r="I15" i="12"/>
  <c r="R6" i="12" l="1"/>
  <c r="R7" i="12" s="1"/>
  <c r="R10" i="12" s="1"/>
  <c r="L23" i="27"/>
  <c r="J23" i="27"/>
  <c r="I23" i="27"/>
  <c r="O23" i="27"/>
  <c r="L21" i="27"/>
  <c r="J21" i="27"/>
  <c r="I21" i="27"/>
  <c r="E26" i="29"/>
  <c r="I14" i="19" l="1"/>
  <c r="I12" i="19"/>
  <c r="O21" i="27"/>
  <c r="M14" i="19"/>
  <c r="M12" i="19"/>
  <c r="G12" i="20"/>
  <c r="F12" i="20"/>
  <c r="H8" i="18" l="1"/>
  <c r="P7" i="29" l="1"/>
  <c r="P8" i="29" s="1"/>
  <c r="Q6" i="29"/>
  <c r="P6" i="29"/>
  <c r="Q3" i="29"/>
  <c r="P3" i="29"/>
  <c r="Q7" i="29"/>
  <c r="Q8" i="29" s="1"/>
  <c r="Q9" i="29" l="1"/>
  <c r="P9" i="29"/>
  <c r="R7" i="29"/>
  <c r="R8" i="29" s="1"/>
  <c r="M11" i="20"/>
  <c r="M10" i="20"/>
  <c r="M9" i="20"/>
  <c r="M8" i="20"/>
  <c r="M6" i="20"/>
  <c r="M20" i="19"/>
  <c r="M18" i="19"/>
  <c r="M17" i="19"/>
  <c r="M11" i="19"/>
  <c r="M10" i="19"/>
  <c r="M9" i="19"/>
  <c r="M8" i="19"/>
  <c r="M6" i="19"/>
  <c r="M20" i="18"/>
  <c r="M19" i="18"/>
  <c r="M18" i="18"/>
  <c r="M17" i="18"/>
  <c r="M14" i="18"/>
  <c r="M12" i="18"/>
  <c r="M11" i="18"/>
  <c r="M10" i="18"/>
  <c r="M9" i="18"/>
  <c r="M8" i="18"/>
  <c r="M6" i="18"/>
  <c r="M20" i="17"/>
  <c r="M19" i="17"/>
  <c r="M18" i="17"/>
  <c r="M17" i="17"/>
  <c r="M16" i="17"/>
  <c r="M14" i="17"/>
  <c r="M13" i="17"/>
  <c r="M12" i="17"/>
  <c r="M11" i="17"/>
  <c r="M10" i="17"/>
  <c r="M9" i="17"/>
  <c r="M8" i="17"/>
  <c r="M6" i="17"/>
  <c r="M20" i="14"/>
  <c r="M19" i="14"/>
  <c r="M18" i="14"/>
  <c r="M17" i="14"/>
  <c r="M15" i="14"/>
  <c r="M14" i="14"/>
  <c r="M13" i="14"/>
  <c r="M12" i="14"/>
  <c r="M11" i="14"/>
  <c r="M10" i="14"/>
  <c r="M9" i="14"/>
  <c r="M8" i="14"/>
  <c r="M6" i="14"/>
  <c r="G13" i="16"/>
  <c r="G14" i="16"/>
  <c r="G15" i="16"/>
  <c r="G16" i="16"/>
  <c r="F13" i="16"/>
  <c r="F14" i="16"/>
  <c r="F15" i="16"/>
  <c r="F16" i="16"/>
  <c r="G12" i="16"/>
  <c r="F12" i="16"/>
  <c r="F11" i="16"/>
  <c r="G11" i="16"/>
  <c r="M20" i="16"/>
  <c r="M19" i="16"/>
  <c r="M18" i="16"/>
  <c r="M17" i="16"/>
  <c r="M16" i="16"/>
  <c r="M14" i="16"/>
  <c r="M13" i="16"/>
  <c r="M12" i="16"/>
  <c r="M10" i="16"/>
  <c r="M9" i="16"/>
  <c r="M8" i="16"/>
  <c r="M7" i="16"/>
  <c r="M6" i="16"/>
  <c r="J31" i="29" l="1"/>
  <c r="Q5" i="29" l="1"/>
  <c r="E17" i="29"/>
  <c r="E25" i="29"/>
  <c r="E24" i="29"/>
  <c r="E23" i="29"/>
  <c r="E21" i="29"/>
  <c r="E19" i="29"/>
  <c r="E18" i="29"/>
  <c r="G31" i="29"/>
  <c r="R6" i="29" l="1"/>
  <c r="R9" i="29" s="1"/>
  <c r="E22" i="29"/>
  <c r="E16" i="29"/>
  <c r="E20" i="29"/>
  <c r="F31" i="29"/>
  <c r="M31" i="29" s="1"/>
  <c r="H31" i="29" l="1"/>
  <c r="I31" i="29"/>
  <c r="E31" i="29"/>
  <c r="R3" i="29"/>
  <c r="R5" i="29" s="1"/>
  <c r="P5" i="29"/>
  <c r="M30" i="28"/>
  <c r="J29" i="28"/>
  <c r="I29" i="28"/>
  <c r="J28" i="28"/>
  <c r="I28" i="28"/>
  <c r="J27" i="28"/>
  <c r="I27" i="28"/>
  <c r="J26" i="28"/>
  <c r="I26" i="28"/>
  <c r="J25" i="28"/>
  <c r="I25" i="28"/>
  <c r="J24" i="28"/>
  <c r="I24" i="28"/>
  <c r="J22" i="28"/>
  <c r="I22" i="28"/>
  <c r="J16" i="28"/>
  <c r="M30" i="27"/>
  <c r="J24" i="27"/>
  <c r="I24" i="27"/>
  <c r="J22" i="27"/>
  <c r="I22" i="27"/>
  <c r="J16" i="27"/>
  <c r="I16" i="27"/>
  <c r="M30" i="26"/>
  <c r="J25" i="26"/>
  <c r="I25" i="26"/>
  <c r="J24" i="26"/>
  <c r="I24" i="26"/>
  <c r="J22" i="26"/>
  <c r="I22" i="26"/>
  <c r="J16" i="26"/>
  <c r="I16" i="26"/>
  <c r="M30" i="25"/>
  <c r="J24" i="25"/>
  <c r="I24" i="25"/>
  <c r="J16" i="25"/>
  <c r="I16" i="25"/>
  <c r="M30" i="24"/>
  <c r="J25" i="24"/>
  <c r="L25" i="24" s="1"/>
  <c r="I25" i="24"/>
  <c r="J16" i="24"/>
  <c r="I16" i="24"/>
  <c r="M30" i="23"/>
  <c r="J24" i="23"/>
  <c r="I24" i="23"/>
  <c r="I20" i="23"/>
  <c r="J20" i="23"/>
  <c r="M30" i="22"/>
  <c r="J29" i="22"/>
  <c r="I29" i="22"/>
  <c r="J28" i="22"/>
  <c r="I28" i="22"/>
  <c r="J27" i="22"/>
  <c r="I27" i="22"/>
  <c r="J26" i="22"/>
  <c r="I26" i="22"/>
  <c r="L26" i="22" s="1"/>
  <c r="J25" i="22"/>
  <c r="I25" i="22"/>
  <c r="L25" i="22" s="1"/>
  <c r="L24" i="22"/>
  <c r="J24" i="22"/>
  <c r="I24" i="22"/>
  <c r="J23" i="22"/>
  <c r="I23" i="22"/>
  <c r="J22" i="22"/>
  <c r="L22" i="22" s="1"/>
  <c r="I22" i="22"/>
  <c r="J21" i="22"/>
  <c r="I21" i="22"/>
  <c r="J20" i="22"/>
  <c r="J19" i="22"/>
  <c r="I19" i="22"/>
  <c r="L19" i="22" s="1"/>
  <c r="I18" i="22"/>
  <c r="J18" i="22"/>
  <c r="J17" i="22"/>
  <c r="J16" i="22"/>
  <c r="I16" i="22"/>
  <c r="J15" i="22"/>
  <c r="I15" i="22"/>
  <c r="M30" i="21"/>
  <c r="J29" i="21"/>
  <c r="I29" i="21"/>
  <c r="J28" i="21"/>
  <c r="I28" i="21"/>
  <c r="J27" i="21"/>
  <c r="I27" i="21"/>
  <c r="J26" i="21"/>
  <c r="I26" i="21"/>
  <c r="J25" i="21"/>
  <c r="I25" i="21"/>
  <c r="J24" i="21"/>
  <c r="I24" i="21"/>
  <c r="J23" i="21"/>
  <c r="I23" i="21"/>
  <c r="J22" i="21"/>
  <c r="I22" i="21"/>
  <c r="J21" i="21"/>
  <c r="I21" i="21"/>
  <c r="I20" i="21"/>
  <c r="J20" i="21"/>
  <c r="J19" i="21"/>
  <c r="I19" i="21"/>
  <c r="K19" i="21" s="1"/>
  <c r="J18" i="21"/>
  <c r="I18" i="21"/>
  <c r="I17" i="21"/>
  <c r="J17" i="21"/>
  <c r="J16" i="21"/>
  <c r="I16" i="21"/>
  <c r="I15" i="21"/>
  <c r="Q10" i="24" l="1"/>
  <c r="R6" i="24"/>
  <c r="R7" i="24" s="1"/>
  <c r="R10" i="24" s="1"/>
  <c r="H22" i="24"/>
  <c r="H25" i="24"/>
  <c r="L23" i="22"/>
  <c r="H25" i="22"/>
  <c r="K16" i="21"/>
  <c r="L19" i="21"/>
  <c r="H21" i="25"/>
  <c r="H25" i="25"/>
  <c r="H24" i="24"/>
  <c r="H21" i="24"/>
  <c r="J30" i="28"/>
  <c r="H20" i="28"/>
  <c r="H17" i="28"/>
  <c r="I16" i="28"/>
  <c r="L22" i="28"/>
  <c r="H22" i="28" s="1"/>
  <c r="L24" i="28"/>
  <c r="H24" i="28" s="1"/>
  <c r="L25" i="28"/>
  <c r="H25" i="28" s="1"/>
  <c r="L26" i="28"/>
  <c r="H26" i="28" s="1"/>
  <c r="L27" i="28"/>
  <c r="H27" i="28" s="1"/>
  <c r="L28" i="28"/>
  <c r="H28" i="28" s="1"/>
  <c r="L29" i="28"/>
  <c r="H29" i="28" s="1"/>
  <c r="H19" i="27"/>
  <c r="H18" i="27"/>
  <c r="J30" i="27"/>
  <c r="L22" i="27"/>
  <c r="H22" i="27" s="1"/>
  <c r="H23" i="27"/>
  <c r="L24" i="27"/>
  <c r="H24" i="27" s="1"/>
  <c r="H25" i="27"/>
  <c r="K16" i="27"/>
  <c r="H16" i="27" s="1"/>
  <c r="K16" i="26"/>
  <c r="H16" i="26" s="1"/>
  <c r="H20" i="26"/>
  <c r="I30" i="26"/>
  <c r="H17" i="26"/>
  <c r="H18" i="26"/>
  <c r="H21" i="26"/>
  <c r="L22" i="26"/>
  <c r="H22" i="26" s="1"/>
  <c r="H23" i="26"/>
  <c r="L24" i="26"/>
  <c r="H24" i="26" s="1"/>
  <c r="L25" i="26"/>
  <c r="H25" i="26" s="1"/>
  <c r="L24" i="25"/>
  <c r="H24" i="25" s="1"/>
  <c r="H23" i="25"/>
  <c r="H22" i="25"/>
  <c r="J30" i="25"/>
  <c r="H19" i="25"/>
  <c r="H15" i="25"/>
  <c r="K16" i="25"/>
  <c r="H16" i="25" s="1"/>
  <c r="H23" i="24"/>
  <c r="J30" i="24"/>
  <c r="H19" i="24"/>
  <c r="H15" i="24"/>
  <c r="K16" i="24"/>
  <c r="H16" i="24" s="1"/>
  <c r="H19" i="23"/>
  <c r="H16" i="23"/>
  <c r="K20" i="23"/>
  <c r="H20" i="23" s="1"/>
  <c r="I30" i="23"/>
  <c r="H17" i="23"/>
  <c r="H21" i="23"/>
  <c r="H22" i="23"/>
  <c r="H23" i="23"/>
  <c r="L24" i="23"/>
  <c r="H24" i="23" s="1"/>
  <c r="H25" i="23"/>
  <c r="L29" i="22"/>
  <c r="H29" i="22" s="1"/>
  <c r="L28" i="22"/>
  <c r="H28" i="22" s="1"/>
  <c r="L27" i="22"/>
  <c r="H27" i="22" s="1"/>
  <c r="H26" i="22"/>
  <c r="H24" i="22"/>
  <c r="H23" i="22"/>
  <c r="H22" i="22"/>
  <c r="L21" i="22"/>
  <c r="H21" i="22" s="1"/>
  <c r="J30" i="22"/>
  <c r="L18" i="22"/>
  <c r="K15" i="22"/>
  <c r="I17" i="22"/>
  <c r="K19" i="22"/>
  <c r="I20" i="22"/>
  <c r="H15" i="22"/>
  <c r="K16" i="22"/>
  <c r="H16" i="22" s="1"/>
  <c r="H19" i="22"/>
  <c r="H19" i="21"/>
  <c r="H16" i="21"/>
  <c r="K20" i="21"/>
  <c r="H20" i="21" s="1"/>
  <c r="I30" i="21"/>
  <c r="K17" i="21"/>
  <c r="H17" i="21" s="1"/>
  <c r="J15" i="21"/>
  <c r="L18" i="21"/>
  <c r="L21" i="21"/>
  <c r="H21" i="21" s="1"/>
  <c r="L22" i="21"/>
  <c r="H22" i="21" s="1"/>
  <c r="L23" i="21"/>
  <c r="H23" i="21" s="1"/>
  <c r="L24" i="21"/>
  <c r="H24" i="21" s="1"/>
  <c r="L25" i="21"/>
  <c r="H25" i="21" s="1"/>
  <c r="L26" i="21"/>
  <c r="H26" i="21" s="1"/>
  <c r="L27" i="21"/>
  <c r="H27" i="21" s="1"/>
  <c r="L28" i="21"/>
  <c r="H28" i="21" s="1"/>
  <c r="L29" i="21"/>
  <c r="H29" i="21" s="1"/>
  <c r="J21" i="20"/>
  <c r="G20" i="20"/>
  <c r="F20" i="20"/>
  <c r="G19" i="20"/>
  <c r="F19" i="20"/>
  <c r="G18" i="20"/>
  <c r="F18" i="20"/>
  <c r="G17" i="20"/>
  <c r="F17" i="20"/>
  <c r="G16" i="20"/>
  <c r="F16" i="20"/>
  <c r="G15" i="20"/>
  <c r="F15" i="20"/>
  <c r="G14" i="20"/>
  <c r="F14" i="20"/>
  <c r="G13" i="20"/>
  <c r="F13" i="20"/>
  <c r="H10" i="20"/>
  <c r="G7" i="20"/>
  <c r="F7" i="20"/>
  <c r="H6" i="20"/>
  <c r="J21" i="19"/>
  <c r="G15" i="19"/>
  <c r="F15" i="19"/>
  <c r="I15" i="19" s="1"/>
  <c r="E15" i="19" s="1"/>
  <c r="G14" i="19"/>
  <c r="F14" i="19"/>
  <c r="I13" i="19"/>
  <c r="E13" i="19" s="1"/>
  <c r="G13" i="19"/>
  <c r="F13" i="19"/>
  <c r="G12" i="19"/>
  <c r="F12" i="19"/>
  <c r="H11" i="19"/>
  <c r="E11" i="19" s="1"/>
  <c r="I10" i="19"/>
  <c r="G7" i="19"/>
  <c r="F7" i="19"/>
  <c r="J21" i="18"/>
  <c r="G16" i="18"/>
  <c r="F16" i="18"/>
  <c r="G15" i="18"/>
  <c r="F15" i="18"/>
  <c r="G14" i="18"/>
  <c r="F14" i="18"/>
  <c r="G13" i="18"/>
  <c r="F13" i="18"/>
  <c r="G12" i="18"/>
  <c r="F12" i="18"/>
  <c r="I9" i="18"/>
  <c r="G7" i="18"/>
  <c r="F7" i="18"/>
  <c r="H7" i="18" s="1"/>
  <c r="J21" i="17"/>
  <c r="G16" i="17"/>
  <c r="F16" i="17"/>
  <c r="G15" i="17"/>
  <c r="F15" i="17"/>
  <c r="G14" i="17"/>
  <c r="F14" i="17"/>
  <c r="G13" i="17"/>
  <c r="F13" i="17"/>
  <c r="G12" i="17"/>
  <c r="F12" i="17"/>
  <c r="H8" i="17"/>
  <c r="H7" i="17"/>
  <c r="G7" i="17"/>
  <c r="F7" i="17"/>
  <c r="J21" i="16"/>
  <c r="H10" i="16"/>
  <c r="J21" i="15"/>
  <c r="G20" i="15"/>
  <c r="F20" i="15"/>
  <c r="G19" i="15"/>
  <c r="F19" i="15"/>
  <c r="G18" i="15"/>
  <c r="F18" i="15"/>
  <c r="G17" i="15"/>
  <c r="F17" i="15"/>
  <c r="G16" i="15"/>
  <c r="F16" i="15"/>
  <c r="G15" i="15"/>
  <c r="F15" i="15"/>
  <c r="G14" i="15"/>
  <c r="F14" i="15"/>
  <c r="G13" i="15"/>
  <c r="F13" i="15"/>
  <c r="G12" i="15"/>
  <c r="F12" i="15"/>
  <c r="G11" i="15"/>
  <c r="F11" i="15"/>
  <c r="G10" i="15"/>
  <c r="F10" i="15"/>
  <c r="H10" i="15" s="1"/>
  <c r="G9" i="15"/>
  <c r="F9" i="15"/>
  <c r="G8" i="15"/>
  <c r="F8" i="15"/>
  <c r="H8" i="15" s="1"/>
  <c r="G7" i="15"/>
  <c r="F7" i="15"/>
  <c r="G6" i="15"/>
  <c r="F6" i="15"/>
  <c r="H6" i="15" s="1"/>
  <c r="J21" i="14"/>
  <c r="G16" i="14"/>
  <c r="F16" i="14"/>
  <c r="G15" i="14"/>
  <c r="F15" i="14"/>
  <c r="G14" i="14"/>
  <c r="F14" i="14"/>
  <c r="G13" i="14"/>
  <c r="F13" i="14"/>
  <c r="E13" i="14" s="1"/>
  <c r="G12" i="14"/>
  <c r="F12" i="14"/>
  <c r="G7" i="14"/>
  <c r="F7" i="14"/>
  <c r="Q10" i="27" l="1"/>
  <c r="R6" i="27"/>
  <c r="R7" i="27" s="1"/>
  <c r="R10" i="27" s="1"/>
  <c r="Q10" i="25"/>
  <c r="R6" i="25"/>
  <c r="R7" i="25" s="1"/>
  <c r="R10" i="25" s="1"/>
  <c r="R6" i="26"/>
  <c r="R7" i="26" s="1"/>
  <c r="R10" i="26" s="1"/>
  <c r="Q10" i="26"/>
  <c r="Q10" i="23"/>
  <c r="R6" i="23"/>
  <c r="R7" i="23" s="1"/>
  <c r="R10" i="23" s="1"/>
  <c r="E12" i="19"/>
  <c r="H19" i="26"/>
  <c r="J30" i="21"/>
  <c r="H11" i="14"/>
  <c r="E11" i="14" s="1"/>
  <c r="H19" i="28"/>
  <c r="I30" i="27"/>
  <c r="O30" i="27" s="1"/>
  <c r="J30" i="26"/>
  <c r="O30" i="26" s="1"/>
  <c r="L30" i="24"/>
  <c r="J30" i="23"/>
  <c r="O30" i="23" s="1"/>
  <c r="E15" i="14"/>
  <c r="G21" i="17"/>
  <c r="H6" i="17"/>
  <c r="E6" i="17" s="1"/>
  <c r="G21" i="18"/>
  <c r="E14" i="19"/>
  <c r="L30" i="28"/>
  <c r="K16" i="28"/>
  <c r="H16" i="28" s="1"/>
  <c r="K30" i="28"/>
  <c r="I30" i="28"/>
  <c r="O30" i="28" s="1"/>
  <c r="H18" i="28"/>
  <c r="L30" i="27"/>
  <c r="H21" i="27"/>
  <c r="H20" i="27"/>
  <c r="H17" i="27"/>
  <c r="H15" i="27"/>
  <c r="L30" i="26"/>
  <c r="K30" i="26"/>
  <c r="L30" i="25"/>
  <c r="H17" i="25"/>
  <c r="H20" i="25"/>
  <c r="H18" i="25"/>
  <c r="I30" i="25"/>
  <c r="O30" i="25" s="1"/>
  <c r="H17" i="24"/>
  <c r="H20" i="24"/>
  <c r="H18" i="24"/>
  <c r="I30" i="24"/>
  <c r="O30" i="24" s="1"/>
  <c r="L30" i="23"/>
  <c r="H18" i="23"/>
  <c r="K30" i="23"/>
  <c r="L30" i="22"/>
  <c r="K17" i="22"/>
  <c r="K30" i="22" s="1"/>
  <c r="K20" i="22"/>
  <c r="H20" i="22" s="1"/>
  <c r="H18" i="22"/>
  <c r="I30" i="22"/>
  <c r="O30" i="22" s="1"/>
  <c r="O30" i="21"/>
  <c r="L30" i="21"/>
  <c r="K15" i="21"/>
  <c r="H18" i="21"/>
  <c r="H8" i="20"/>
  <c r="E8" i="20" s="1"/>
  <c r="H8" i="19"/>
  <c r="E8" i="19" s="1"/>
  <c r="H6" i="19"/>
  <c r="E6" i="19" s="1"/>
  <c r="H10" i="17"/>
  <c r="G21" i="14"/>
  <c r="E8" i="17"/>
  <c r="H10" i="19"/>
  <c r="E10" i="19" s="1"/>
  <c r="F21" i="14"/>
  <c r="I10" i="14"/>
  <c r="E12" i="14"/>
  <c r="E14" i="14"/>
  <c r="I16" i="14"/>
  <c r="E16" i="14" s="1"/>
  <c r="I18" i="14"/>
  <c r="G21" i="15"/>
  <c r="H7" i="16"/>
  <c r="E7" i="16" s="1"/>
  <c r="I9" i="16"/>
  <c r="E9" i="16" s="1"/>
  <c r="E7" i="17"/>
  <c r="I9" i="17"/>
  <c r="E9" i="17" s="1"/>
  <c r="H6" i="18"/>
  <c r="E6" i="18" s="1"/>
  <c r="E8" i="18"/>
  <c r="H10" i="18"/>
  <c r="G21" i="19"/>
  <c r="E16" i="19"/>
  <c r="G21" i="20"/>
  <c r="H7" i="15"/>
  <c r="I9" i="15"/>
  <c r="F21" i="17"/>
  <c r="I10" i="17"/>
  <c r="H7" i="19"/>
  <c r="E7" i="19" s="1"/>
  <c r="I9" i="19"/>
  <c r="E9" i="19" s="1"/>
  <c r="H7" i="20"/>
  <c r="E7" i="20" s="1"/>
  <c r="I9" i="20"/>
  <c r="E9" i="20" s="1"/>
  <c r="H8" i="16"/>
  <c r="E8" i="16" s="1"/>
  <c r="E6" i="20"/>
  <c r="I10" i="20"/>
  <c r="E10" i="20" s="1"/>
  <c r="H11" i="20"/>
  <c r="I13" i="20"/>
  <c r="E13" i="20" s="1"/>
  <c r="I15" i="20"/>
  <c r="E15" i="20" s="1"/>
  <c r="I16" i="20"/>
  <c r="E16" i="20" s="1"/>
  <c r="I17" i="20"/>
  <c r="E17" i="20" s="1"/>
  <c r="I18" i="20"/>
  <c r="E18" i="20" s="1"/>
  <c r="I19" i="20"/>
  <c r="E19" i="20" s="1"/>
  <c r="I20" i="20"/>
  <c r="E20" i="20" s="1"/>
  <c r="F21" i="20"/>
  <c r="I18" i="19"/>
  <c r="F21" i="19"/>
  <c r="E7" i="18"/>
  <c r="E9" i="18"/>
  <c r="I10" i="18"/>
  <c r="H11" i="18"/>
  <c r="E12" i="18"/>
  <c r="I13" i="18"/>
  <c r="E13" i="18" s="1"/>
  <c r="E14" i="18"/>
  <c r="I15" i="18"/>
  <c r="E15" i="18" s="1"/>
  <c r="I16" i="18"/>
  <c r="E16" i="18" s="1"/>
  <c r="I18" i="18"/>
  <c r="F21" i="18"/>
  <c r="H11" i="17"/>
  <c r="E13" i="17"/>
  <c r="E14" i="17"/>
  <c r="I15" i="17"/>
  <c r="E15" i="17" s="1"/>
  <c r="E16" i="17"/>
  <c r="E17" i="17"/>
  <c r="I18" i="17"/>
  <c r="I10" i="16"/>
  <c r="E10" i="16" s="1"/>
  <c r="H11" i="16"/>
  <c r="E11" i="16" s="1"/>
  <c r="E12" i="16"/>
  <c r="E13" i="16"/>
  <c r="E14" i="16"/>
  <c r="I15" i="16"/>
  <c r="E15" i="16" s="1"/>
  <c r="E16" i="16"/>
  <c r="I18" i="16"/>
  <c r="E6" i="15"/>
  <c r="E7" i="15"/>
  <c r="E8" i="15"/>
  <c r="E9" i="15"/>
  <c r="I10" i="15"/>
  <c r="E10" i="15" s="1"/>
  <c r="H11" i="15"/>
  <c r="H21" i="15" s="1"/>
  <c r="I12" i="15"/>
  <c r="E12" i="15" s="1"/>
  <c r="I13" i="15"/>
  <c r="E13" i="15" s="1"/>
  <c r="I14" i="15"/>
  <c r="E14" i="15" s="1"/>
  <c r="I15" i="15"/>
  <c r="E15" i="15" s="1"/>
  <c r="I16" i="15"/>
  <c r="E16" i="15" s="1"/>
  <c r="I17" i="15"/>
  <c r="E17" i="15" s="1"/>
  <c r="I18" i="15"/>
  <c r="E18" i="15" s="1"/>
  <c r="I19" i="15"/>
  <c r="E19" i="15" s="1"/>
  <c r="I20" i="15"/>
  <c r="E20" i="15" s="1"/>
  <c r="F21" i="15"/>
  <c r="M21" i="15" s="1"/>
  <c r="H6" i="14"/>
  <c r="E6" i="14" s="1"/>
  <c r="H7" i="14"/>
  <c r="E7" i="14" s="1"/>
  <c r="H8" i="14"/>
  <c r="E8" i="14" s="1"/>
  <c r="I9" i="14"/>
  <c r="H10" i="14"/>
  <c r="E10" i="14" s="1"/>
  <c r="I34" i="16" l="1"/>
  <c r="I34" i="14"/>
  <c r="I34" i="17"/>
  <c r="I34" i="18"/>
  <c r="I35" i="19"/>
  <c r="E35" i="19"/>
  <c r="E10" i="18"/>
  <c r="H17" i="22"/>
  <c r="H30" i="22" s="1"/>
  <c r="H21" i="19"/>
  <c r="M21" i="17"/>
  <c r="H21" i="17"/>
  <c r="E10" i="17"/>
  <c r="M21" i="18"/>
  <c r="H15" i="28"/>
  <c r="H30" i="28" s="1"/>
  <c r="K30" i="27"/>
  <c r="H30" i="27"/>
  <c r="H15" i="26"/>
  <c r="H30" i="26" s="1"/>
  <c r="H30" i="25"/>
  <c r="K30" i="25"/>
  <c r="H30" i="24"/>
  <c r="K30" i="24"/>
  <c r="H15" i="23"/>
  <c r="H30" i="23" s="1"/>
  <c r="K30" i="21"/>
  <c r="H15" i="21"/>
  <c r="H30" i="21" s="1"/>
  <c r="M21" i="20"/>
  <c r="M21" i="19"/>
  <c r="M21" i="14"/>
  <c r="I21" i="17"/>
  <c r="I21" i="14"/>
  <c r="H21" i="18"/>
  <c r="H21" i="20"/>
  <c r="I21" i="19"/>
  <c r="E11" i="20"/>
  <c r="E21" i="20" s="1"/>
  <c r="I21" i="20"/>
  <c r="E21" i="19"/>
  <c r="E11" i="18"/>
  <c r="I21" i="18"/>
  <c r="E11" i="17"/>
  <c r="E12" i="17"/>
  <c r="I21" i="16"/>
  <c r="E11" i="15"/>
  <c r="E21" i="15" s="1"/>
  <c r="I21" i="15"/>
  <c r="E9" i="14"/>
  <c r="E21" i="14" s="1"/>
  <c r="H21" i="14"/>
  <c r="E35" i="16" l="1"/>
  <c r="I35" i="16"/>
  <c r="I35" i="14"/>
  <c r="E35" i="14"/>
  <c r="E35" i="17"/>
  <c r="I35" i="17"/>
  <c r="E21" i="18"/>
  <c r="E35" i="18"/>
  <c r="I35" i="18"/>
  <c r="E21" i="17"/>
  <c r="J21" i="4"/>
  <c r="G20" i="4"/>
  <c r="F20" i="4"/>
  <c r="G19" i="4"/>
  <c r="F19" i="4"/>
  <c r="G18" i="4"/>
  <c r="F18" i="4"/>
  <c r="G17" i="4"/>
  <c r="F17" i="4"/>
  <c r="G16" i="4"/>
  <c r="F16" i="4"/>
  <c r="G15" i="4"/>
  <c r="F15" i="4"/>
  <c r="G14" i="4"/>
  <c r="F14" i="4"/>
  <c r="G13" i="4"/>
  <c r="F13" i="4"/>
  <c r="G12" i="4"/>
  <c r="F12" i="4"/>
  <c r="F11" i="4"/>
  <c r="G10" i="4"/>
  <c r="G9" i="4"/>
  <c r="F9" i="4"/>
  <c r="F8" i="4"/>
  <c r="G7" i="4"/>
  <c r="G6" i="4"/>
  <c r="F10" i="4" l="1"/>
  <c r="H10" i="4" s="1"/>
  <c r="G11" i="4"/>
  <c r="H11" i="4" s="1"/>
  <c r="E11" i="4" s="1"/>
  <c r="G8" i="4"/>
  <c r="F6" i="4"/>
  <c r="F7" i="4"/>
  <c r="I9" i="4"/>
  <c r="I12" i="4"/>
  <c r="E12" i="4" s="1"/>
  <c r="I13" i="4"/>
  <c r="E13" i="4" s="1"/>
  <c r="I14" i="4"/>
  <c r="E14" i="4" s="1"/>
  <c r="I15" i="4"/>
  <c r="E15" i="4" s="1"/>
  <c r="I16" i="4"/>
  <c r="E16" i="4" s="1"/>
  <c r="I17" i="4"/>
  <c r="E17" i="4" s="1"/>
  <c r="I18" i="4"/>
  <c r="E18" i="4" s="1"/>
  <c r="I19" i="4"/>
  <c r="E19" i="4" s="1"/>
  <c r="I20" i="4"/>
  <c r="E20" i="4" s="1"/>
  <c r="M30" i="12"/>
  <c r="G21" i="4" l="1"/>
  <c r="I10" i="4"/>
  <c r="E10" i="4" s="1"/>
  <c r="H8" i="4"/>
  <c r="E8" i="4" s="1"/>
  <c r="I21" i="4"/>
  <c r="H7" i="4"/>
  <c r="E7" i="4" s="1"/>
  <c r="F21" i="4"/>
  <c r="H6" i="4"/>
  <c r="E6" i="4" s="1"/>
  <c r="E9" i="4"/>
  <c r="M21" i="4" l="1"/>
  <c r="E21" i="4"/>
  <c r="H21" i="4"/>
  <c r="H21" i="12"/>
  <c r="H22" i="12"/>
  <c r="H23" i="12"/>
  <c r="H24" i="12"/>
  <c r="H25" i="12"/>
  <c r="H15" i="12" l="1"/>
  <c r="L30" i="12"/>
  <c r="I30" i="12"/>
  <c r="J30" i="12"/>
  <c r="H19" i="12"/>
  <c r="H20" i="12"/>
  <c r="H17" i="12"/>
  <c r="H18" i="12"/>
  <c r="H16" i="12"/>
  <c r="K30" i="12" l="1"/>
  <c r="H30" i="12"/>
  <c r="O30" i="12"/>
  <c r="G21" i="16" l="1"/>
  <c r="F21" i="16" l="1"/>
  <c r="M21" i="16" s="1"/>
  <c r="H6" i="16"/>
  <c r="H21" i="16" s="1"/>
  <c r="E6" i="16" l="1"/>
  <c r="E21" i="16" s="1"/>
</calcChain>
</file>

<file path=xl/comments1.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2.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3.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4.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5.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6.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7.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8.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9.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sharedStrings.xml><?xml version="1.0" encoding="utf-8"?>
<sst xmlns="http://schemas.openxmlformats.org/spreadsheetml/2006/main" count="2787" uniqueCount="353">
  <si>
    <t>Celkem</t>
  </si>
  <si>
    <t>Národní soukromé zdroje
(d)</t>
  </si>
  <si>
    <t>Národní veřejné zdroje (kraj, obec, jiné) 
( c )</t>
  </si>
  <si>
    <t>Národní veřejné zdroje (SR, SF) (b)</t>
  </si>
  <si>
    <t>Příspěvek
 Unie (a)</t>
  </si>
  <si>
    <t>Z toho
Vlastní zdroje příjemce</t>
  </si>
  <si>
    <t>Z toho Podpora</t>
  </si>
  <si>
    <t>Celkové způsobilé výdaje
(CZV)</t>
  </si>
  <si>
    <t>Nezpůsobilé výdaje (v tis. 
Kč)</t>
  </si>
  <si>
    <t>PLÁN FINANCOVÁNÍ (způsobilé výdaje v tis. Kč)</t>
  </si>
  <si>
    <t>Specifický cíl OP/ 
Operace PRV</t>
  </si>
  <si>
    <t>Investiční priorita/
Prioritní 
oblast</t>
  </si>
  <si>
    <t>Prioritní 
osa OP/
Priorita
Unie</t>
  </si>
  <si>
    <t xml:space="preserve">Programový rámec </t>
  </si>
  <si>
    <t>tabulka bude automaticky generovaná v součtech předchozích tabulek</t>
  </si>
  <si>
    <t>Fond</t>
  </si>
  <si>
    <t>Program</t>
  </si>
  <si>
    <t xml:space="preserve"> Příspěvek Unie</t>
  </si>
  <si>
    <t xml:space="preserve">Národní spolufinancování </t>
  </si>
  <si>
    <t xml:space="preserve">Celkové způsobilé výdaje </t>
  </si>
  <si>
    <t>EFRR</t>
  </si>
  <si>
    <t>IROP</t>
  </si>
  <si>
    <t>OP ŽP</t>
  </si>
  <si>
    <t>Celkem EFRR</t>
  </si>
  <si>
    <t>ESF</t>
  </si>
  <si>
    <t>OP Z</t>
  </si>
  <si>
    <t>EZFRV</t>
  </si>
  <si>
    <t>PRV</t>
  </si>
  <si>
    <t>Celkem EZFRV</t>
  </si>
  <si>
    <t xml:space="preserve"> Celkem</t>
  </si>
  <si>
    <t>Specifický 
cíl SCLLD</t>
  </si>
  <si>
    <t>Opatření 
SCLLD</t>
  </si>
  <si>
    <t>Pod-
opatření 
SCLLD</t>
  </si>
  <si>
    <t>IDENTIFIKACE programu</t>
  </si>
  <si>
    <t>PLÁN FINANCOVÁNÍ (způsobilé výdaje v Kč)</t>
  </si>
  <si>
    <t>Nezpůsobilé výdaje (tis. Kč)</t>
  </si>
  <si>
    <t>Prioritní
osa/</t>
  </si>
  <si>
    <t>Investiční priorita
OP/</t>
  </si>
  <si>
    <t>Specifický cíl OP
/ Operace PRV</t>
  </si>
  <si>
    <t>Priorita 
Unie</t>
  </si>
  <si>
    <t>Prioritní 
oblast</t>
  </si>
  <si>
    <t xml:space="preserve">Celkem alokace </t>
  </si>
  <si>
    <t>Kofinancování v %</t>
  </si>
  <si>
    <t xml:space="preserve"> n/a</t>
  </si>
  <si>
    <t>OPZ</t>
  </si>
  <si>
    <t>Podpora zaměstnanosti</t>
  </si>
  <si>
    <t>Sociální služby a sociální zalčeňování</t>
  </si>
  <si>
    <t>2</t>
  </si>
  <si>
    <t>2.3.1 Zvýšit zapojení lokálních aktérů do řešení problémů nezaměstnanosti a sociálního začleňování
ve venkovských oblastech</t>
  </si>
  <si>
    <t>Slaďování rodinného a profesního života</t>
  </si>
  <si>
    <t>Sociální podnikání</t>
  </si>
  <si>
    <t>Identifikace indikátorů</t>
  </si>
  <si>
    <t>Hodnoty indikátorů</t>
  </si>
  <si>
    <t>Odůvodnění,
jakým 
způsobem
byly hodnoty
stanoveny</t>
  </si>
  <si>
    <t>Kód
NČI2014+</t>
  </si>
  <si>
    <t>Název
indikátoru</t>
  </si>
  <si>
    <t>Měrná 
jednotka</t>
  </si>
  <si>
    <t>Typ indikátoru (výstup/výsledek)</t>
  </si>
  <si>
    <t>Výchozí
hodnota</t>
  </si>
  <si>
    <t>Datum 
výchozí
hodnoty</t>
  </si>
  <si>
    <t>Cílová
hodnota</t>
  </si>
  <si>
    <t>Datum cílové hodnoty</t>
  </si>
  <si>
    <t>Syntéza potřeb území a disponibilních zdrojů z ESI administrovaných přes MAS</t>
  </si>
  <si>
    <t>2.4.1.A. Podpora udržitelnosti nemotorové a veřejné dopravy</t>
  </si>
  <si>
    <t xml:space="preserve">2.4. - Infrastruktura pro veřejnou a nemotorovou dopravu </t>
  </si>
  <si>
    <t xml:space="preserve">7 52 01 </t>
  </si>
  <si>
    <t>Počet nových nebo rekonstruovaných přestupních terminálů ve veřejné dopravě</t>
  </si>
  <si>
    <t>výstup</t>
  </si>
  <si>
    <t>terminál</t>
  </si>
  <si>
    <t>7 50 01</t>
  </si>
  <si>
    <t>Počet realizací vedoucích ke zvýšení bezpečnosti v dopravě</t>
  </si>
  <si>
    <t>realizace</t>
  </si>
  <si>
    <t xml:space="preserve">7 61 00 </t>
  </si>
  <si>
    <t>Délka nově vybudovaných cyklostezek a cyklotras</t>
  </si>
  <si>
    <t>km</t>
  </si>
  <si>
    <t xml:space="preserve">7 64 01 </t>
  </si>
  <si>
    <t>Počet parkovacích míst pro jízdní kola</t>
  </si>
  <si>
    <t>parkovací místo</t>
  </si>
  <si>
    <t>Podíl cyklistiky na přepravních výkonech</t>
  </si>
  <si>
    <t>7 63 10</t>
  </si>
  <si>
    <t>%</t>
  </si>
  <si>
    <t>výsledek</t>
  </si>
  <si>
    <t xml:space="preserve">Podíl veřejné osobní dopravy na celkových výkonech v osobní dopravě </t>
  </si>
  <si>
    <t>7 51 20</t>
  </si>
  <si>
    <t>1.2. - Technologie pro moderní a efektivní veřejné služby</t>
  </si>
  <si>
    <t xml:space="preserve">5 70 01 </t>
  </si>
  <si>
    <t>Počet nové techniky a věcných prostředků složek IZS</t>
  </si>
  <si>
    <t>5 75 20</t>
  </si>
  <si>
    <t>Počet exponovaných území s nedostatečnou připraveností složek IZS</t>
  </si>
  <si>
    <t>sety</t>
  </si>
  <si>
    <t>území</t>
  </si>
  <si>
    <t>6.3. - Dostupné a kvalitní sociální služby pro širokou veřejnost</t>
  </si>
  <si>
    <t>Počet podpořených zázemí pro služby a sociální práci</t>
  </si>
  <si>
    <t>5 54 01</t>
  </si>
  <si>
    <t>zázemí</t>
  </si>
  <si>
    <t>5 53 01</t>
  </si>
  <si>
    <t>Počet podpořených bytů pro sociální bydlení</t>
  </si>
  <si>
    <t>bytové jednotky</t>
  </si>
  <si>
    <t>6 75 10</t>
  </si>
  <si>
    <t>Kapacita služeb a sociální práce</t>
  </si>
  <si>
    <t>klienti</t>
  </si>
  <si>
    <t>5 53 20</t>
  </si>
  <si>
    <t>Průměrný počet osob využívající sociální bydlení</t>
  </si>
  <si>
    <t>Nárůst kapacity sociálních bytů</t>
  </si>
  <si>
    <t>5 53 10</t>
  </si>
  <si>
    <t>osoby/rok</t>
  </si>
  <si>
    <t xml:space="preserve">4.5. - Podpora zaměstnanosti v sektoru NNO a podpora sociálních podniků                </t>
  </si>
  <si>
    <t>Zvýšení zaměstnanosti v podporovaných podnicích se zaměřením na znevýhodněné skupiny</t>
  </si>
  <si>
    <t>1 04 03</t>
  </si>
  <si>
    <t>FTE</t>
  </si>
  <si>
    <t>výstupový</t>
  </si>
  <si>
    <t xml:space="preserve">1 04 00 </t>
  </si>
  <si>
    <t>Zvýšení zaměstnanosti v podporovaných podnicích</t>
  </si>
  <si>
    <t>Počet podniků pobírajících podporu</t>
  </si>
  <si>
    <t>1 00 00</t>
  </si>
  <si>
    <t>podniky</t>
  </si>
  <si>
    <t>1 01 02</t>
  </si>
  <si>
    <t>Počet podniků pobírajících granty</t>
  </si>
  <si>
    <t>Soukromé investice odpovídající veřejné podpoře podniků (granty)</t>
  </si>
  <si>
    <t>1 03 00</t>
  </si>
  <si>
    <t>EUR</t>
  </si>
  <si>
    <t>Míra nezaměstnanosti osob s nejnižším vzděláním</t>
  </si>
  <si>
    <t>1 04 11</t>
  </si>
  <si>
    <t>výsledkový</t>
  </si>
  <si>
    <t xml:space="preserve">6.1. - Moderní školská a předškolní zařízení  </t>
  </si>
  <si>
    <t>5 00 01</t>
  </si>
  <si>
    <t>Kapacita podporovaných zařízení péče o děti nebo vzdělávacích zařízení</t>
  </si>
  <si>
    <t>osoby</t>
  </si>
  <si>
    <t>Počet podpořených vzdělávacích zařízení</t>
  </si>
  <si>
    <t>5 00 00</t>
  </si>
  <si>
    <t>Zařízení</t>
  </si>
  <si>
    <t>5 00 30</t>
  </si>
  <si>
    <t xml:space="preserve">Podíl osob předčasně opouštějících vzdělávací systém  </t>
  </si>
  <si>
    <t>5 00 20</t>
  </si>
  <si>
    <t>Podíl tříletých dětí umístěných v předškolním zařízení</t>
  </si>
  <si>
    <t>3.4. - Revitalizace kulturních památek včetně památek místního významu</t>
  </si>
  <si>
    <t>9 05 01</t>
  </si>
  <si>
    <t>Počet revitalizovaných památkových objektů</t>
  </si>
  <si>
    <t>Objekty</t>
  </si>
  <si>
    <t>Počet návštěv kulturních památek a paměťových institucí zpřístupněných za vstupné</t>
  </si>
  <si>
    <t>9 10 10</t>
  </si>
  <si>
    <t>Návštěvy/rok</t>
  </si>
  <si>
    <t>Článek 17, odstavec 1., písmeno a) – Investice do zemědělských podniků</t>
  </si>
  <si>
    <t>4.6. - Podpora rozvoje zemědělských, lesnických a potravinářských činností</t>
  </si>
  <si>
    <t>Počet podpořených podniků/příjemců</t>
  </si>
  <si>
    <t>Pracovní místa vytvořená v rámci podpořených projektů (Leader)</t>
  </si>
  <si>
    <t>Článek 17, odstavec 1., písmeno c) – Lesnická infrastruktura</t>
  </si>
  <si>
    <t>Celková délka lesních cest (km)</t>
  </si>
  <si>
    <t>podnik</t>
  </si>
  <si>
    <t>Článek 19, odstavec 1., písmeno b) – Podpora investic na založení nebo rozvoj nezemědělských činností</t>
  </si>
  <si>
    <t>4.3. - Podpora malého a středního podnikání</t>
  </si>
  <si>
    <t>Čl. 26 – Investice do lesnických technologií a zpracování lesnických produktů, jejich mobilizace a uvádění na trh</t>
  </si>
  <si>
    <t>Článek 44 – Činnosti spolupráce v rámci iniciativy LEADER</t>
  </si>
  <si>
    <t>6.5. - Mezisektorová spolupráce subjektů regionu a plánování</t>
  </si>
  <si>
    <t>4.2. - Podpora zaměstnanosti a vzniku pracovních míst</t>
  </si>
  <si>
    <t>Celkový počet účastníků</t>
  </si>
  <si>
    <t>Počet projektů zaměřených na orgány veřejné správy a veřejné služby na celostátní, regionální a místní úrovni</t>
  </si>
  <si>
    <t xml:space="preserve">2.3.1 OPZ - Zvýšit zapojení lokálních aktérů do řešení problémů nezaměstnanosti a sociálního začleňování ve venkovských oblastech
Aktivita: Podpora zaměstnanosti
</t>
  </si>
  <si>
    <t>2.III</t>
  </si>
  <si>
    <t>projekty</t>
  </si>
  <si>
    <t xml:space="preserve">2.3.1 OPZ - Zvýšit zapojení lokálních aktérů do řešení problémů nezaměstnanosti a sociálního začleňování ve venkovských oblastech
Aktivita:  Sociální služby a sociální začleňování
</t>
  </si>
  <si>
    <t>Kapacita podpořených služeb</t>
  </si>
  <si>
    <t>místa</t>
  </si>
  <si>
    <t>Bývalí účastníci projektů sociálních služeb, u nichž služba naplnila svůj účel</t>
  </si>
  <si>
    <t>Využívání podpořených služeb</t>
  </si>
  <si>
    <t>Počet podpořených komunitních center</t>
  </si>
  <si>
    <t xml:space="preserve">2.3.1 OPZ - Zvýšit zapojení lokálních aktérů do řešení problémů nezaměstnanosti a sociálního začleňování ve venkovských oblastech
Aktivita: Sociální podnikání
</t>
  </si>
  <si>
    <t xml:space="preserve">2.3.1 OPZ - Zvýšit zapojení lokálních aktérů do řešení problémů nezaměstnanosti a sociálního začleňování ve venkovských oblastech
Aktivita: Slaďování rodinného a profesního života
</t>
  </si>
  <si>
    <t xml:space="preserve"> výstupový</t>
  </si>
  <si>
    <t>Počet projektů, které zcela nebo zčásti provádějí sociální partneři nebo nevládní organizace</t>
  </si>
  <si>
    <t>organizace</t>
  </si>
  <si>
    <t>Počet sociálních podniků vzniklých díky podpoře</t>
  </si>
  <si>
    <t>4.5. - Podpora zaměstnanosti v sektoru NNO a podpora sociálních podniků</t>
  </si>
  <si>
    <t>dle Metodiky pro tvorbu Fichí není stanoven závazný indikátor, do systému MS2014+ zadán indikátor výstupu 9 25 01 Celkové veřejné výdaje (O.1) - 46 782 EUR (přepočteno ze stanovené alokace na projekty spolupráce 1 265,00 tis. Kč)</t>
  </si>
  <si>
    <t>Celkem 2016</t>
  </si>
  <si>
    <t>Celkem 2017</t>
  </si>
  <si>
    <t>Celkem 2018</t>
  </si>
  <si>
    <t>Celkem 2019</t>
  </si>
  <si>
    <t>CELKEM 2020</t>
  </si>
  <si>
    <t>CELKEM 2021</t>
  </si>
  <si>
    <t>CELKEM 2022</t>
  </si>
  <si>
    <t>CELKEM 2023</t>
  </si>
  <si>
    <t>CELKEM 2016 - 2023</t>
  </si>
  <si>
    <t>Celkem za celé období 2016 - 2023 CLLD</t>
  </si>
  <si>
    <t>6.3.1.A. Investice do infrastruktury pro služby vedoucí k sociální inkluzi</t>
  </si>
  <si>
    <t>1.2.2.A. Investice do akceschopnosti složek IZS</t>
  </si>
  <si>
    <t>4.5.1.A. Podpora zázemí sociálních podniků</t>
  </si>
  <si>
    <t>6.1.1.A. Investice do kapacit a kvality škol a školek</t>
  </si>
  <si>
    <t>3.4.1.A. Investice do revitalizace hmotných památek</t>
  </si>
  <si>
    <t>4.6.1.A. Podpora konkurenceschopnosti místních zemědělců</t>
  </si>
  <si>
    <t>4.6.4.A. Zlepšování lesnické infrastruktury</t>
  </si>
  <si>
    <t>4.3.1.A. Zvyšování konkurenceschopnosti nezemědělských podnikatelů</t>
  </si>
  <si>
    <t>4.6.2.A. Podpora konkurenceschopnosti lesního hospodářství a lesnických produktů</t>
  </si>
  <si>
    <t>6.5.1.A. Podpora komunitně vedeného místního rozvoje</t>
  </si>
  <si>
    <t>4.2.1.A. Veřejná podpora podmínek pro nárůst zaměstnanosti</t>
  </si>
  <si>
    <t>6.3.2.A. Podpora poskytování sociálních a inkluzivních služeb</t>
  </si>
  <si>
    <t>4.2.2.A. Podpora pro-rodinných opatření</t>
  </si>
  <si>
    <t>4.5.2.A. Podpora činností vedoucích k rozvoji sociálních podniků</t>
  </si>
  <si>
    <t>4.2.2. A.Podpora pro-rodinných opatření</t>
  </si>
  <si>
    <t>Sociální služby a sociální začleňování</t>
  </si>
  <si>
    <t>9d</t>
  </si>
  <si>
    <t>4.1 Posílení komunitně vedeného
místního rozvoje za účelem zvýšení
kvality života ve venkovských oblastech
a aktivizace místního potenciálu</t>
  </si>
  <si>
    <t>6b</t>
  </si>
  <si>
    <t>19.2.1. Podpora provádění operací v
rámci strategie komunitně
vedeného místního rozvoje</t>
  </si>
  <si>
    <t>19.3.1. Příprava a provádění činností
spolupráce místní akční skupiny</t>
  </si>
  <si>
    <t xml:space="preserve">2.3.1 Zvýšit zapojení lokálních aktérů do řešení problémů nezaměstnanosti a sociálního začleňování
ve venkovských oblastech </t>
  </si>
  <si>
    <t>4</t>
  </si>
  <si>
    <t>4.1.</t>
  </si>
  <si>
    <t>MAS převzala hodnoty z Programového dokumentu IROP.</t>
  </si>
  <si>
    <t xml:space="preserve">Předmět pořízení: Výchozí hodnota indikátoru byla stanovena na základě výstupu z šetření kapacit zařízení sociálních služeb území MAS. V rámci něj byly hodnoceny kapacity služeb a sociální práce dostupné občanům obcí na území místní akční skupiny. 
Cílová hodnota: Budoucí hodnota (tj. přírůstek 15 osob) byla stanovena jako kvalifikovaný odhad, který bere v úvahu očekávaný rozvoj tohoto segmentu v letech 2015 - 2023 na základě zvyšování nabídky služeb plynoucího z projektů realizovaných přes MAS ze zdrojů IROP. Část podpořených aktivit povede zřejmě spíše ke zlepšení kvality poskytovaných služeb, než ke zvyšování jejich kapacit. Předpokládáme, že každé ze dvou podpořených zařízení bude poskytovat min. 1 sociální službu dle zákona č. . 108/2006 Sb. Pokud jde o maximální okamžitou kapacitu (počet klientů) před a po realizaci projektu, na obou hodnotách se dle předpokladu bude cca jedou třetinou podílet podpořené zázemí v rámci aktivity „Infrastruktura pro dostupnost a rozvoj sociální služby“ (přírůstek kapacity cca 5 osob) a dvěma třetinami podpořené zázemí v rámci aktivity „Podpora rozvoje infrastruktury komunitních center (nepolyfunkčních) za účelem sociálního začleňování a zvýšení uplatnitelnosti na trhu práce“ (přírůstek kapacity cca 10 osob).
</t>
  </si>
  <si>
    <t xml:space="preserve"> 5 54 02</t>
  </si>
  <si>
    <t>Počet poskytovaných druhů sociálních služeb</t>
  </si>
  <si>
    <t>služby</t>
  </si>
  <si>
    <t xml:space="preserve">Cílová hodnota: Předpokládáme, že každé ze dvou podpořených zařízení bude poskytovat min. 1 sociální službu dle zákona č. . 108/2006 Sb. Celkem je tedy cílová hodnota stanovena na 2 druhy sociálních sužeb.
</t>
  </si>
  <si>
    <t>lůžka</t>
  </si>
  <si>
    <t xml:space="preserve">Předmět pořízení: Při vyhledávání způsobilých a žadatelů, kteří by v budoucnu mohli mít zájem o realizaci projektů rozvoje sociálního podnikání ze zdrojů IROP, byly identifikován  potenciální projekt zřícení sociální dílny pro nezaměstnané (sociálně vyloučené osoby).
Cílová hodnota:  Vzhledem ke skutečnosti, že mnoho konceptů sociálního podnikání se na území MAS nachází spíše ve fázi podnikatelsé ideje i a vzhledem k dalším možnostem žadatelů i zdrojům MAS z IROP byla finální hodnota indikátoru stanovena na 1.  
Milník k 31. 12. 2018: Vzhledem k časové náročnosti přípravy nového podnikatelského projektu v této oblasti a k očekávanému datu vyhlášení výzvy ze strany MAS neočekáváme finalizaci projektu do konce roku 2018 a tudíž je hodnota milníku k tomuto datu stanovena jako nulová.
</t>
  </si>
  <si>
    <t>1 01 05</t>
  </si>
  <si>
    <t>Počet nových podniků, které dostávají podporu</t>
  </si>
  <si>
    <t>Národní soukromé zdroje připadající na financování rozvoje sociálních podniků jsou 210.530 Kč. Při přepočtu stanoveným měnovým kurzem 27,50 CZK/EUR odpovídá tato částka hodnotě cca 7.656 EUR.</t>
  </si>
  <si>
    <t>9 10 05</t>
  </si>
  <si>
    <t xml:space="preserve">Zvýšení očekávaného počtu návštěv podporovaných kulturních a přírodních památek a atrakcí </t>
  </si>
  <si>
    <t>návštěvy/rok</t>
  </si>
  <si>
    <t xml:space="preserve">Cílová hodnota: Počet návštěvníků zámku v Jaroměřicích nad Rokytnou dosáhl v roce 2014 hodnoty 29.530 návštěvníků. Ex ante odhad zvýšení počtu návštěv této památky v roce následujícím po roce ukončení projektu dosahuje 3 % této hodnoty, tedy nárůst na 30.415 návštěvníků.
</t>
  </si>
  <si>
    <t xml:space="preserve">MAS převzala hodnoty z Programového dokumentu IROP.
</t>
  </si>
  <si>
    <t>Účastníci, kteří získali kvalifikaci po ukončení své účasti</t>
  </si>
  <si>
    <t>Plánované aktivity v rámci tohoto opatření - viz výše popis indikátoru č. 6 00 00.
U předpokládaných projektů se očekává, že min. 1 účastník získá v rámci své účasti kvalifikaci v souladu s definicí tohoto ukazatele:  Potvrzení o kvalifikaci je udíleno na základě formálního prověření znalostí, které ukázalo, že účastník získal kvalifikaci dle předem nastavených standardů. V rámci výzev může být specifikováno, jaké druhy kvalifikací a potvrzení kvalifikací jsou přípustné pro naplňování indikátoru v dané výzvě.</t>
  </si>
  <si>
    <t>Účastníci zaměstnání po ukončení své účasti, včetně OSVČ</t>
  </si>
  <si>
    <t>Plánované aktivity v rámci tohoto opatření - viz výše popis indikátoru č. 6 00 00.
U předpokládaných projektů se očekává, že po skončení účasti bude zaměstnáno min. 50 % účastíků, tj. celkem 3 osoby.</t>
  </si>
  <si>
    <t xml:space="preserve">Znevýhodnění účastníci, kteří po ukončení své účasti hledají zaměstnání, jsou v procesu vzdělávání/odborné přípravy, rozšiřují si kvalifikaci nebo jsou zaměstnaní, a to i OSVČ </t>
  </si>
  <si>
    <t>Plánované aktivity v rámci tohoto opatření - viz výše popis indikátoru č. 6 00 00.
U předpokládaných projektů se očekává, že po skončení účasti budou hledat zaměstnání, budou v procesu vzdělávání/odborné přípravy, budou si rozšiřovat kvalifikaci nebo budou zaměstnáni 2 znevýhodnění účastníci.</t>
  </si>
  <si>
    <t>Účastníci zaměstnaní 6 měsíců po ukončení své účasti, včetně OSVČ</t>
  </si>
  <si>
    <t>Plánované aktivity v rámci tohoto opatření - viz výše popis indikátoru č. 6 00 00.
U předpokládaných projektů se očekává, že 6 měsíců po skončení účasti bude zaměstnáno min. 50 % účastníků, tj. celkem 3 osoby.</t>
  </si>
  <si>
    <t>Účastníci ve věku nad 54 let zaměstnaní  6 měsíců po ukončení své účasti,  včetně OSVČ</t>
  </si>
  <si>
    <t>Plánované aktivity v rámci tohoto opatření - viz výše popis indikátoru č. 6 00 00.
U předpokládaných projektů se očekává, že 6 měsíců po skončení účasti bude zaměstnán min. 1 účastník ve věku nad 54 let.</t>
  </si>
  <si>
    <t xml:space="preserve">Znevýhodnění účastníci zaměstnaní 6 měsíců po ukončení své účasti včetně OSVČ </t>
  </si>
  <si>
    <t>Plánované aktivity v rámci tohoto opatření - viz výše popis indikátoru č. 6 00 00.
U předpokládaných projektů se očekává, že 6 měsíců po skončení účasti bude zaměstnán min. 1 znevýhodněný účastník.</t>
  </si>
  <si>
    <t>Počet zaměstnavatelů, kteří podporují flexibilní formy práce</t>
  </si>
  <si>
    <t xml:space="preserve">Plánované aktivity v rámci tohoto opatření - viz výše popis indikátoru č. 6 00 00.
Jednou z podporovaných aktivit bude zřízení pracovního místa s flexibilní formou zaměstnávání. Kromě toho lze nové zavedení některé z definovaných flexibilních forem práce očekávat také ze strany realizátorů projektu zaměřených na druhou ativitu "podpora vytváření pracovních míst". Vzhledem ke skutečnosti, že zaměstnavatel se do hodnoty daného indikátoru započítá pouze tehdy, pokud alespoň jednu z definovaných flexibilních forem práce před zahájením projektu nevyužíval, odhadujeme počet zaměstnavatelů s nově zavedenou flexibilní forou práce na 1. 
</t>
  </si>
  <si>
    <t>Počet osob pracujících v rámci flexibilních forem práce</t>
  </si>
  <si>
    <t>Plánované aktivity v rámci tohoto opatření - viz výše popis indikátoru č. 6 00 00.
Jednou z podporovaných aktivit bude zřízení pracovního místa s flexibilní formou zaměstnávání - počítá se min. s 1 účastníkem zapojeným do této aktivity. Počet osob pracujících v rámci flexilních forem práce je proto stanoven na 1.</t>
  </si>
  <si>
    <t>Plánované aktivity v rámci tohoto opatření - viz výše popis indikátoru č. 6 00 00.
Předpokládá se, že nositeli velké části projektů v opatření Veřejná podpora podmínek pro nárůst zaměstnanosti budou obce a proto byla hodnota indikátoru nastavena na 3.</t>
  </si>
  <si>
    <t>V rámci zjišťování potřeb území v oblasti podpory sociálních a inkluzivních služeb byly identifikovány následující 3 projekty: komunitní centrum a nízkoprahové zařízení, zázemí pro sociální služby a vybudování nízkokapacitní pobytové služby pro lidi se zdravotním postižením. Na základě mapování absorpční kapacity očekáváme realizaci minimálně jednoho projektu v této oblasti, pravděpodobně ve formě komunitního centra, které nabízí také sociální služby. 
Cílová hodnota tohoto indikátoru byla stanovena na 20 a to jako celkový součet předpokládaného počtu účastníků zjištěných projektů. Započítáni jsou účastníci, kteří v těchto projektech budou mít vyšší podporu, než je bagatelní podpora (více jak 40 hodin za celou délku realizace projektu), přičemž půjde o osoby jednoznačně identifikované, u nichž jsou známé osobní údaje ve stanoveném rozsahu (klienti služeb, kteří nebudou anonymní, bude s nimi uzavřena smlouva a zároveň překročí bagatelní podporu).</t>
  </si>
  <si>
    <t>Bývalí účastníci projektů, u nichž intervence formou sociální práce naplnila svůj účel</t>
  </si>
  <si>
    <t xml:space="preserve">Jeden ze zjištěných projektů s vyšší pravděpodobností realizace má být zaměřen na uvedený typ orgánů a proto byla hodnota indikátoru stanovena na 1. Realita bude záviset na skutečně realizovaných projektech, které vzejdou z výběrového procesu. </t>
  </si>
  <si>
    <t xml:space="preserve">V rámci analýzy potřeb a absorpční kapacity území MAS Rokytná v oblasti podpory sociálních a inkluzivních služeb, předpokládáme podporu min. 1 projektu, viz indikátor 62000 - projekty zaměřené na sociální práci včetně sociálních služeb. 
Je pravděpodobné, že skutečné složení žadatelů a charakter předkládaných projektů budou v budoucnu po vyhlášení výzvy v některých aspektech odlišné od výsledků mapování absorpční kapacity. Tyto výsledky avšak lze považovat za dostatečný podklad pro expertní odhad, který sloužil k nastavení indikátoru pro toto opatření.
Cílová hodnota tohoto indikátoru byla stanovena na 15 a to jako celkový součet předpokládaných kapacit podpořených služeb v rámci zjištěných projektů. Tato kalkulovaná kapacita vychází z maximálního počtu osob, které budou moci podpořené služby či programy v danou chvíli obsloužit bez ohledu na to, zda se jedná o anonymní klienty, počet účastníků či osoby s bagatelní podporou. Omezení hodnoty indikátoru je dáno velikostí personálu a fyzickými prostorami podpořených projektů.
</t>
  </si>
  <si>
    <t>Na základě mapování absorpční kapacity očekáváme realizaci minimálně jednoho projektu v této oblasti, pravděpodobně ve formě komunitního centra, které nabízí také sociální služby - více viz zdůvodnění indikátoru č. 6 00 00 v rámci tohoto opatření.</t>
  </si>
  <si>
    <t>Počet osob využívajících zařízení péče o děti ve věku do 3 let</t>
  </si>
  <si>
    <t>Počet osob využívajících zařízení péče o děti předškolního věku</t>
  </si>
  <si>
    <t>Počet podpořených zařízení péče o děti předškolního věku</t>
  </si>
  <si>
    <t>Kapacita podpořených zařízení péče o děti nebo vzdělávacích zařízení</t>
  </si>
  <si>
    <t xml:space="preserve">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vycházelo stanovení očekávaných hodnot indikátoru především z parametrů předpokládaných projektů v oblasti příměstských táborů. Finální hodnota tohoto indikátoru byla na 1 stanovena na základě předpokladu, že minimálně jeden z projektů bude realizován nestátní neziskovou organizací.
</t>
  </si>
  <si>
    <t>Při zjišťování absorpční kapacity a potřeb území MAS Rokytná v oblasti podpory sociálního podnikání byly identifikovány 2 možné projekty (viz výše). Na základě daného šetření a znalosti situace v území se očekává, že z celkového počtu 2 podpořených sociálních podniků bude 1 podnik nový (tj. vzniklý díky podpoře) a druhý stávající.</t>
  </si>
  <si>
    <t>Počet podpořených již existujících sociálních podniků</t>
  </si>
  <si>
    <t>Při zjišťování absorpční kapacity a potřeb území MAS Rokytná v oblasti podpory sociálního podnikání byly identifikovány 2 možné projekty (viz výše). Na základě daného šetření a znalosti situace v území se očekává, že z celkového počtu 2 podpořených sociálních podniků bude 1 podnik nový a druhý stávající.</t>
  </si>
  <si>
    <t>Plánované aktivity, které mají být realizovány v rámci pravděpodobných projektů, mají aspekt získání nové či zlepšování stávající kvalifikace, jako významné prevence sociálního vyloučení příslušníků cílové skupiny. Očekává se, že tento aspekt se bude týkat min 1/3 podpořených účastníků. Vzhledem k tomuto předpokladu byl cílový počet účastníků, kteří získají kvalifikaci po skončení své účasti, stanoven na 2.</t>
  </si>
  <si>
    <t>Očekává se, že min. 1/3 účastníků podpořených projektů bude zaměstnána i po skončení projektu. Vzhledem k očekávanému počtu účastníků podpořených projektů (viz výše zdůvodnění indikátoru č. 6 00 00) byl tento počet stanoven na 2. Do uvedené hodnoty budou započítáni původně nezaměstnaní nebo neaktivní účastníci intervence, kteří jsou po ukončení účasti v projektu zaměstnaní nebo OSVČ.</t>
  </si>
  <si>
    <t>Znevýhodnění účastníci, kteří po ukončení své účasti hledají zaměstnání, jsou v procesu vzdělávání/odborné přípravy, rozšiřují si kvalifikaci enbo jsou zaměstnaní, a to i OSVČ (osoby)</t>
  </si>
  <si>
    <t xml:space="preserve">Očekává se, že min. 2/3 ze všech znevýhodněných účastníků v rámci podpořených projektů budou po ukončení své účasti hledat zaměstnání, budou v procesu vzdělávání/odborné přípravy, budou si rozšiřovat kvalifikaci nebo budou zaměstnaní. Vzhledem k očekávanému počtu 3 (viz indikátor č. 6 32 00) znevýhodněných účastníků podpořených projektů byl tento počet stanoven na 2. </t>
  </si>
  <si>
    <t>Očekává se, že min. 1/3 účastníků podpořených projektů bude zaměstnána i 6 měsíců po skončení své účasti v projektu. Vzhledem k očekávanému počtu účastníků podpořených projektů (viz výše zdůvodnění indikátoru č. 6 00 00) byl tento počet stanoven na 2. Do uvedené hodnoty budou započítáni původně nezaměstnaní nebo neaktivní účastníci intervence, kteří jsou po ukončení účasti v projektu zaměstnaní nebo OSVČ.</t>
  </si>
  <si>
    <t>Viz zdůvodnění indikátoru č. 62900 - vzhledem ke stanovené hodnotě 2 indikátoru č. 62900, nelze s dostatečnou mírou pravděpodobnosti stanovit, že min. 1 z účastníků zaměstnaných 6 měsíců po ukončení své účasti, bude starší 54 let.</t>
  </si>
  <si>
    <t>Na základě znalosti situace a potřeb území MAS Rokytná v oblasti podpory činností vedoucích k rozvoji sociálních podniků se očekává, že 1 ze všech 3 znevýhodněných účastníků v rámci podpořených projektů bude zaměstnán i 6 měsíců po skončení projektu.</t>
  </si>
  <si>
    <t>Na základě znalosti situace a potřeb území MAS Rokytná v oblasti podpory sociálního podnikání se předpokládá, že min. 1 podpořený projekt bude zaměřen na orgány veřejné správy / veřejné služby na místní úrovni, pravděpodobně obecní úrovni.</t>
  </si>
  <si>
    <t xml:space="preserve">Na základě znalosti situace a potřeb území MAS Rokytná v oblasti podpory sociálního podnikání se předpokládá, že min. 1 podpořený projekt bude realizován nestátní neziskovou organizací.
</t>
  </si>
  <si>
    <t xml:space="preserve">FINANCOVÁNÍ SCLLD V JEDNOTLIVÝCH LETECH PODLE SPECIFICKÝCH CÍLŮ OPERAČNÍCH PROGRAMŮ / OPATŘENÍ EZFRV </t>
  </si>
  <si>
    <t>FINANCOVÁNÍ SCLLD V JEDNOTLIVÝCH LETECH PODLE SPECIFICKÝCH CÍLŮ OPERAČNÍCH PROGRAMŮ / OPATŘENÍ EZFRV   -  2016</t>
  </si>
  <si>
    <t>FINANCOVÁNÍ SCLLD V JEDNOTLIVÝCH LETECH PODLE SPECIFICKÝCH CÍLŮ OPERAČNÍCH PROGRAMŮ / OPATŘENÍ EZFRV   -   2017</t>
  </si>
  <si>
    <t>FINANCOVÁNÍ SCLLD V JEDNOTLIVÝCH LETECH PODLE SPECIFICKÝCH CÍLŮ OPERAČNÍCH PROGRAMŮ / OPATŘENÍ EZFRV    -   2018</t>
  </si>
  <si>
    <t>FINANCOVÁNÍ SCLLD V JEDNOTLIVÝCH LETECH PODLE SPECIFICKÝCH CÍLŮ OPERAČNÍCH PROGRAMŮ / OPATŘENÍ EZFRV    -   2019</t>
  </si>
  <si>
    <t>FINANCOVÁNÍ SCLLD V JEDNOTLIVÝCH LETECH PODLE SPECIFICKÝCH CÍLŮ OPERAČNÍCH PROGRAMŮ / OPATŘENÍ EZFRV    -   2020</t>
  </si>
  <si>
    <t>FINANCOVÁNÍ SCLLD V JEDNOTLIVÝCH LETECH PODLE SPECIFICKÝCH CÍLŮ OPERAČNÍCH PROGRAMŮ / OPATŘENÍ EZFRV    -   2021</t>
  </si>
  <si>
    <t>FINANCOVÁNÍ SCLLD V JEDNOTLIVÝCH LETECH PODLE SPECIFICKÝCH CÍLŮ OPERAČNÍCH PROGRAMŮ / OPATŘENÍ EZFRV    -   2022</t>
  </si>
  <si>
    <t>FINANCOVÁNÍ SCLLD V JEDNOTLIVÝCH LETECH PODLE SPECIFICKÝCH CÍLŮ OPERAČNÍCH PROGRAMŮ / OPATŘENÍ EZFRV    -   2023</t>
  </si>
  <si>
    <t>CELKEM   2016 - 2023   DLE OPERAČNÍCH PROGRAMŮ / OPATŘENÍ EZFRV</t>
  </si>
  <si>
    <t>Milník
31.12. 2018
je-li ŘO vyžadován</t>
  </si>
  <si>
    <r>
      <t xml:space="preserve">Cílová hodnota indikátoru byly stanovena na základě </t>
    </r>
    <r>
      <rPr>
        <b/>
        <sz val="11"/>
        <color theme="1"/>
        <rFont val="Calibri"/>
        <family val="2"/>
        <charset val="238"/>
        <scheme val="minor"/>
      </rPr>
      <t>kombinace následujících dvou předpokladů</t>
    </r>
    <r>
      <rPr>
        <sz val="11"/>
        <color theme="1"/>
        <rFont val="Calibri"/>
        <family val="2"/>
        <charset val="238"/>
        <scheme val="minor"/>
      </rPr>
      <t xml:space="preserve">: (a) Celkový počet účastníků podpořených projektů v rámci opatření - detailnější popis viz zdůvodnění indikátoru č. 6 00 00 u tohoto opatření. Předpokládá  se přitom, že z uvedených celkových 20 účastníků (tj. identifikovaných osob s nebagatelní podporou) bude u části (cca 3/4, tj. 15 účastníků) intervence realizována formou sociální práce. (b) Dále se předpokládá, že svůj účel intervence naplní u 2/3 z nich tj. u 10. Tím byla stanovena cílová hodnota ukazatele. Realita, tj. ne/naplnění obou uvedených předpokladů  bude záviset na skutečně realizovaných projektech, které vzejdou z výběrového procesu. </t>
    </r>
  </si>
  <si>
    <r>
      <t xml:space="preserve">Cílová hodnota indikátoru byly stanovena na základě </t>
    </r>
    <r>
      <rPr>
        <b/>
        <sz val="11"/>
        <color theme="1"/>
        <rFont val="Calibri"/>
        <family val="2"/>
        <charset val="238"/>
        <scheme val="minor"/>
      </rPr>
      <t>kombinace následujících dvou předpokladů</t>
    </r>
    <r>
      <rPr>
        <sz val="11"/>
        <color theme="1"/>
        <rFont val="Calibri"/>
        <family val="2"/>
        <charset val="238"/>
        <scheme val="minor"/>
      </rPr>
      <t xml:space="preserve">: (a) Celkový počet účastníků podpořených projektů v rámci opatření - detailnější popis viz zdůvodnění indikátoru č. 6 00 00 u tohoto opatření. Předpokládá  se přitom, že z uvedených celkových 20 účastníků (tj. identifikovaných osob s nebagatelní podporou) bude u části (cca 3/4, tj. 15 účastníků) intervence realizována formou sociální práce a z toho 13 konkrétně formou sociálních služeb. (b) Dále se předpokládá, že svůj účel intervence naplní u 3/4 z nich tj. u 10. Tím byla stanovena cílová hodnota ukazatele. Realita, tj. ne/naplnění obou uvedených předpokladů  bude záviset na skutečně realizovaných projektech, které vzejdou z výběrového procesu. </t>
    </r>
  </si>
  <si>
    <r>
      <t xml:space="preserve">Na základě znalosti situace a potřeb území MAS Rokytná v oblasti podpory prorodinných opatření  jsou očekávány především záměry na </t>
    </r>
    <r>
      <rPr>
        <b/>
        <sz val="11"/>
        <color theme="1"/>
        <rFont val="Calibri"/>
        <family val="2"/>
        <charset val="238"/>
        <scheme val="minor"/>
      </rPr>
      <t>realizaci příměstských táborů</t>
    </r>
    <r>
      <rPr>
        <sz val="11"/>
        <color theme="1"/>
        <rFont val="Calibri"/>
        <family val="2"/>
        <charset val="238"/>
        <scheme val="minor"/>
      </rPr>
      <t>. Přestože je teoreticky možné, že podporu na základě reálné budoucí výzvy MAS získá i projekt zaměřený na jiný typ aktivit, vycházelo stanovení očekávaných hodnot indikátorů především z parametrů předpokládaných projektů v oblasti příměstských táborů. Finální hodnota tohoto indikátoru byla na 0 stanovena na základě předpokladu, že podpořené příměstské tábory nebudou nabízet místa pro děti mladší 3 let.</t>
    </r>
  </si>
  <si>
    <r>
      <t>Při zjišťování absorpční kapacity a potřeb území MAS Rokytná v oblasti podpory sociálního podnikání byly identifikovány 2 možné projekty - konkrétně zřícení sociální dílny pro nezaměstnané (sociálně vyloučené osoby) a vytváření podmínek pro vznik a rozvoj sociálních podniků. Na základě</t>
    </r>
    <r>
      <rPr>
        <b/>
        <sz val="11"/>
        <color theme="1"/>
        <rFont val="Calibri"/>
        <family val="2"/>
        <charset val="238"/>
        <scheme val="minor"/>
      </rPr>
      <t xml:space="preserve"> předpokládaného rozsahu</t>
    </r>
    <r>
      <rPr>
        <sz val="11"/>
        <color theme="1"/>
        <rFont val="Calibri"/>
        <family val="2"/>
        <charset val="238"/>
        <scheme val="minor"/>
      </rPr>
      <t xml:space="preserve"> (aktivity a celkový rozpočet) uvedených projektů a předpokládaného počtu </t>
    </r>
    <r>
      <rPr>
        <b/>
        <sz val="11"/>
        <color theme="1"/>
        <rFont val="Calibri"/>
        <family val="2"/>
        <charset val="238"/>
        <scheme val="minor"/>
      </rPr>
      <t>osob z cílových skupin</t>
    </r>
    <r>
      <rPr>
        <sz val="11"/>
        <color theme="1"/>
        <rFont val="Calibri"/>
        <family val="2"/>
        <charset val="238"/>
        <scheme val="minor"/>
      </rPr>
      <t>, kterým bude poskytnuta</t>
    </r>
    <r>
      <rPr>
        <b/>
        <sz val="11"/>
        <color theme="1"/>
        <rFont val="Calibri"/>
        <family val="2"/>
        <charset val="238"/>
        <scheme val="minor"/>
      </rPr>
      <t xml:space="preserve"> nebagatelní podpora </t>
    </r>
    <r>
      <rPr>
        <sz val="11"/>
        <color theme="1"/>
        <rFont val="Calibri"/>
        <family val="2"/>
        <charset val="238"/>
        <scheme val="minor"/>
      </rPr>
      <t xml:space="preserve">(zaměstnávání, vzdělávání, psychosociální podpora apod.) byl celkový počet účastníků stanoven na 6, tj. průměrně 3 osoby na jeden projekt (každá podpořená osoba započítána jednou). </t>
    </r>
  </si>
  <si>
    <t xml:space="preserve">Předmět pořízení: Plány na zbudování bytů pro sociální bydlení reportovaly v době přípravy strategie 2 velké obce na území MAS Rokytná.  V uvedených obcích jde jak o projekty zamřené ja na opravu stávajících objektů, tak na výstavbu nových bytů. Je však pavděpodbné, že zájem v budoucnu díky legislativním změnám projeví také další obce.
Cena za jednotku: Předpokládaná alokace na aktivitu Sociální bydlení je 5,263 mil. Kč. V uvedených obcích jde spíše o nižší jednotky bytů vybudovaných často s využitím stávajících objektů. Celkový plánovaný počet bytů k výstavbě ze zdrojů IROP přes MAS byl stanoven na 7 a to především s ohledem potřebu testování tohoto typu projektů, ale také s ohledem na
předpokládanou investiční náročnost, jiné možnosti financování a dostupné finanční prostředky. U podpořených bytů se počítá s průměrnou cenou 751.000,- Kč/1 bytová jednotka. Tato průměrná cena byla zjištěna na základě průzkumu cen v místě a čas obvyklých. Důvodem vyšších nákladů oproti normativu je zejména to, že plánujeme podpořit rekonstrukce stávajících starších objektů, kdy změna způsobu využití stavebního objektu pro potřeby sociálního bydlení je investičně náročnější než postavení objektu nového. Poznámka - finální hodnota jednotkového nákladu na indikátor vyplyne ze stavebně - technické a realizační dokumentace konkrétních podpořených projektů.
Cílová hodnota: K výstavbě ze zdrojů IROP přes MAS byla cílová hodnota stanovena na 7 a to především s ohledem potřebu testování tohoto typu projektů, ale také s ohledem na předpkládanou investičí náročnost, jiné možnosti financování a dostupné finanční prostředky. 
Milník k 31. 12. 2018: V současné době mají výše specifikované projekty zameřené na investice do sociálního bydlení předpokládané datum ukončení po 31. 12. 2018 (v důsledku časové náročnosti administrativní přípavy, např. výběrových řízení a stavebních prací) a tudíž byla hodnota milníku nastavena na 0. 
</t>
  </si>
  <si>
    <t xml:space="preserve">Cílová hodnota: Výchozí hodnota indikátoru byla stanovena na základě východiska, že koncept sociálního bydlení není v současné době zatím přesně legislativně definován, avšak zákonná definice se v budoucnu očekává. Z toho důvodu a díky odlišnosti stávajících přístupů k tzv. sociálnímu bydlení byla výchozí hodnota tohoto indikátoru pro území MAS stanovena na 0 (tj. sociální byty dle jednotné definice nebyly na území MAS dosud realizovány). Cílová hodnota indikátoru stanovena jako přírůstek ke stávajícímu stavu a to na základě projektů plánovaných k realizaci přes MAS s využitím zdrojů IROP. Jak je uvedeno u indikátorů č. 5 53 01 a č. 5 53 02, je plánována podpora 7 bytů s předpokládanou kapacitou 1 osoby/byt. Přírůstek hodnoty indikátoru č. 5 53 10  Nárůst kapacity sociálních bytů byl proto stanoven na 7.
</t>
  </si>
  <si>
    <r>
      <t>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tedy dětských skupin, vycházelo stanovení očekávaných hodnot indikátoru především z parametrů předpokládaných projektů v oblasti dětských skupin. Finální hodnota byla na 1 stanovena na základě předpokladu, že</t>
    </r>
    <r>
      <rPr>
        <b/>
        <sz val="11"/>
        <color theme="1"/>
        <rFont val="Calibri"/>
        <family val="2"/>
        <charset val="238"/>
        <scheme val="minor"/>
      </rPr>
      <t xml:space="preserve"> min. 1 </t>
    </r>
    <r>
      <rPr>
        <sz val="11"/>
        <color theme="1"/>
        <rFont val="Calibri"/>
        <family val="2"/>
        <charset val="238"/>
        <scheme val="minor"/>
      </rPr>
      <t xml:space="preserve">z podpořených dětských skupin bude </t>
    </r>
    <r>
      <rPr>
        <b/>
        <sz val="11"/>
        <color theme="1"/>
        <rFont val="Calibri"/>
        <family val="2"/>
        <charset val="238"/>
        <scheme val="minor"/>
      </rPr>
      <t xml:space="preserve">nabízet péči </t>
    </r>
    <r>
      <rPr>
        <sz val="11"/>
        <color theme="1"/>
        <rFont val="Calibri"/>
        <family val="2"/>
        <charset val="238"/>
        <scheme val="minor"/>
      </rPr>
      <t xml:space="preserve">(míst pro) děti předškolního věku.
Milník k 31: 12. 2018: neočekáváme realizaci části aktivit zaměřené na předškolní děti do konce roku 2018.
</t>
    </r>
  </si>
  <si>
    <r>
      <t xml:space="preserve">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vycházelo stanovení očekávaných hodnot indikátoru především z parametrů předpokládaných projektů v oblasti příměstských táborů. Finální hodnota byla na 10 stanovena na základě předpokládaného využití podpořených služeb - tj. </t>
    </r>
    <r>
      <rPr>
        <b/>
        <sz val="11"/>
        <color theme="1"/>
        <rFont val="Calibri"/>
        <family val="2"/>
        <charset val="238"/>
        <scheme val="minor"/>
      </rPr>
      <t>10 dětí předškolního věku</t>
    </r>
    <r>
      <rPr>
        <sz val="11"/>
        <color theme="1"/>
        <rFont val="Calibri"/>
        <family val="2"/>
        <charset val="238"/>
        <scheme val="minor"/>
      </rPr>
      <t xml:space="preserve"> (a tedy 10 osob z řad rodičů, kteří mohou být v zaměstnání) z celkové disponibilní kapacity 52 dětí.
Milník k 31: 12. 2018: neočekáváme realizaci části aktivit zaměřené na předškolní děti do konce roku 2018.</t>
    </r>
  </si>
  <si>
    <t xml:space="preserve">Celkový počet klientů očekáváme 65 - z nichž 20 obdrží nebagatelní podporu a jsou zahrnuti pouze v indikátoru 6 00 00 a 45 obdrží bagatelní podporu (popř. jsou anonymní) a jsou zahrnuti v tomto indikátoru. Hodnota indikátoru byla stanovena kvalifikovaným odhadem potencionálního počtů podpořených osob a to na základě rozsahu identifikovaných projektů, které mohou být realizovány.  V úvahu byla brána také velikost populace v rámci na území MAS, která může být klientem příjemců. </t>
  </si>
  <si>
    <t>19.2.1.</t>
  </si>
  <si>
    <t>19.3.1.</t>
  </si>
  <si>
    <t xml:space="preserve"> Příspěvek Unie (v tis. Kč)</t>
  </si>
  <si>
    <t>Národní spolufinancování                  (v tis. Kč)</t>
  </si>
  <si>
    <t>Podpora                                  (v tis. Kč)</t>
  </si>
  <si>
    <t>Celkem ESF</t>
  </si>
  <si>
    <t>E) FINANCOVÁNÍ PODLE JEDNOTLIVÝCH SPECIFICKÝCH CÍLŮ A OPATŘENÍ SCLLD V JEDNOTLIVÝCH LETECH - 2023</t>
  </si>
  <si>
    <t>E) FINANCOVÁNÍ PODLE JEDNOTLIVÝCH SPECIFICKÝCH CÍLŮ A OPATŘENÍ SCLLD V JEDNOTLIVÝCH LETECH - 2022</t>
  </si>
  <si>
    <t>E) FINANCOVÁNÍ PODLE JEDNOTLIVÝCH SPECIFICKÝCH CÍLŮ A OPATŘENÍ SCLLD V JEDNOTLIVÝCH LETECH - 2021</t>
  </si>
  <si>
    <t>E) FINANCOVÁNÍ PODLE JEDNOTLIVÝCH SPECIFICKÝCH CÍLŮ A OPATŘENÍ SCLLD V JEDNOTLIVÝCH LETECH - 2020</t>
  </si>
  <si>
    <t>E) FINANCOVÁNÍ PODLE JEDNOTLIVÝCH SPECIFICKÝCH CÍLŮ A OPATŘENÍ SCLLD V JEDNOTLIVÝCH LETECH - 2019</t>
  </si>
  <si>
    <t>E) FINANCOVÁNÍ PODLE JEDNOTLIVÝCH SPECIFICKÝCH CÍLŮ A OPATŘENÍ SCLLD V JEDNOTLIVÝCH LETECH - 2018</t>
  </si>
  <si>
    <t>E) FINANCOVÁNÍ PODLE JEDNOTLIVÝCH SPECIFICKÝCH CÍLŮ A OPATŘENÍ SCLLD V JEDNOTLIVÝCH LETECH - 2017</t>
  </si>
  <si>
    <t>E) FINANCOVÁNÍ PODLE JEDNOTLIVÝCH SPECIFICKÝCH CÍLŮ A OPATŘENÍ SCLLD V JEDNOTLIVÝCH LETECH - 2016</t>
  </si>
  <si>
    <t>h) Financování podle programů a ESI fondů - 2016</t>
  </si>
  <si>
    <t>h) Financování podle programů a ESI fondů - 2017</t>
  </si>
  <si>
    <t>h) Financování podle programů a ESI fondů  - 2018</t>
  </si>
  <si>
    <t>h) Financování podle programů a ESI fondů  - 2019</t>
  </si>
  <si>
    <t>h) Financování podle programů a ESI fondů  - 2020</t>
  </si>
  <si>
    <t>h) Financování podle programů a ESI fondů  - 2021</t>
  </si>
  <si>
    <t>h) Financování podle programů a ESI fondů - 2022</t>
  </si>
  <si>
    <t>h) Financování podle programů a ESI fondů - 2023</t>
  </si>
  <si>
    <t>h) Financování podle programů a ESI fondů - 2016 - 2023</t>
  </si>
  <si>
    <t>e) FINANCOVÁNÍ PODLE JEDNOTLIVÝCH SPECIFICKÝCH CÍLŮ A OPATŘENÍ SCLLD    -   CELKEM ZA CELÉ OBDOBÍ    2016 - 2023   CLLD</t>
  </si>
  <si>
    <t>f) FINANCOVÁNÍ SCLLD V JEDNOTLIVÝCH LETECH PODLE SPECIFICKÝCH CÍLŮ OPERAČNÍCH PROGRAMŮ / OPATŘENÍ EZFRV   -  2016 - 2023</t>
  </si>
  <si>
    <t>f) FINANCOVÁNÍ SCLLD V JEDNOTLIVÝCH LETECH PODLE SPECIFICKÝCH CÍLŮ OPERAČNÍCH PROGRAMŮ / OPATŘENÍ EZFRV   -  2023</t>
  </si>
  <si>
    <t>f) FINANCOVÁNÍ SCLLD V JEDNOTLIVÝCH LETECH PODLE SPECIFICKÝCH CÍLŮ OPERAČNÍCH PROGRAMŮ / OPATŘENÍ EZFRV   -  2022</t>
  </si>
  <si>
    <t>f) FINANCOVÁNÍ SCLLD V JEDNOTLIVÝCH LETECH PODLE SPECIFICKÝCH CÍLŮ OPERAČNÍCH PROGRAMŮ / OPATŘENÍ EZFRV   -  2021</t>
  </si>
  <si>
    <t>f) FINANCOVÁNÍ SCLLD V JEDNOTLIVÝCH LETECH PODLE SPECIFICKÝCH CÍLŮ OPERAČNÍCH PROGRAMŮ / OPATŘENÍ EZFRV   -  2020</t>
  </si>
  <si>
    <t>f) FINANCOVÁNÍ SCLLD V JEDNOTLIVÝCH LETECH PODLE SPECIFICKÝCH CÍLŮ OPERAČNÍCH PROGRAMŮ / OPATŘENÍ EZFRV   -  2019</t>
  </si>
  <si>
    <t>f) FINANCOVÁNÍ SCLLD V JEDNOTLIVÝCH LETECH PODLE SPECIFICKÝCH CÍLŮ OPERAČNÍCH PROGRAMŮ / OPATŘENÍ EZFRV   -  2018</t>
  </si>
  <si>
    <t>f) FINANCOVÁNÍ SCLLD V JEDNOTLIVÝCH LETECH PODLE SPECIFICKÝCH CÍLŮ OPERAČNÍCH PROGRAMŮ / OPATŘENÍ EZFRV   -  2017</t>
  </si>
  <si>
    <t>f) FINANCOVÁNÍ SCLLD V JEDNOTLIVÝCH LETECH PODLE SPECIFICKÝCH CÍLŮ OPERAČNÍCH PROGRAMŮ / OPATŘENÍ EZFRV   -  2016</t>
  </si>
  <si>
    <t xml:space="preserve">Na základě zjištěných potřeb a absorpční kapacity území MAS Rokytná se v rámci daného opatření očekává realizace následujících dvou aktivit:  a) podpora vytváření nových pracovních míst a b) podpora flexibilních forem zaměstnání. Předpokládá se, že nositeli veké části projektů budou obce na území MAS. Předpokládaná kompozice cekové hodnoty indikátoru je následující: a) 6 zřízených pracovních míst na období cca 2 roky (tj. min 6 podpořených osob); b) 2 zřízené pracovní místo s flexibilní formou zaměstnávání na období cca 2 roky (tj. min. 2 podpořené osoby). 
Z výše uvedeného vyplývají průměrné náklady na jednoho účastníka v maximální výši 652,6 tis. Kč. Výše této poskytované podpory na jednotku indikátoru vyplývá ze plánovaného typu podpory v podobě příspěvků na mzdové náklady na pracovníka.
</t>
  </si>
  <si>
    <t>5</t>
  </si>
  <si>
    <t>Počet osob využívajících zařízení péče o děti do 3 let</t>
  </si>
  <si>
    <t>g) INDIKÁTORY PODLE JEDNOTLIVÝCH SPECIFICKÝCH CÍLŮ A OPATŘENÍ (PŘÍPADNĚ PODOPATŘENÍ) SCLLD -   Za celé období     2016 - 2023</t>
  </si>
  <si>
    <t xml:space="preserve">Cílová hodnota: Výchozí hodnota indikátoru byla stanovena na základě východiska, že koncept sociálního bydlení není v současné době zatím přesně legislativně definován, avšak zákonná definice se v budoucnu očekává. Z toho důvodu a díky odlišnosti stávajících přístupů k tzv. sociálnímu bydlení byla výchozí hodnota tohoto indikátoru pro území MAS stanovena na 0 (tj. sociální byty dle jednotné definice nebyly na území MAS dosud realizovány). Cílová hodnota indikátoru stanovena jako přírůstek ke stávajícímu stavu a to na základě projektů plánovaných k realizaci přes MAS s využitím zdrojů IROP. Jak je uvedeno u indikátoru č. 5 53 01, je plánována podpora 7 bytů. Minimání kapacita každého z těchto bytů (počet lůžek) je jedna osoba (lůžko), přičemž se očekává cca 80 % obložnost. Tudíž byl přírůstek hodnoty indikátoru č. 5 53 20  Průměrný počet osob využívajících sociální bydlení stanoven na 5,6.
</t>
  </si>
  <si>
    <t xml:space="preserve">Předmět pořízení: Při vyhledávání způsobilých a žadatelů, kteří by v budoucnu mohli mít zájem o realizaci projektů rozvoje sociálního podnikání ze zdrojů IROP, byly identifikován  potenciální projekt zřícení sociální dílny pro nezaměstnané (sociálně vyloučené osoby).
Cílová hodnota:  Vzhledem ke skutečnosti, že mnoho konceptů sociálního podnikání se na území MAS nachází spíše ve fázi podnikatelsé ideje i a vzhledem k dalším možnostem žadatelů i zdrojům MAS z IROP byla finální hodnota indikátoru stanovena na 1.  
</t>
  </si>
  <si>
    <t>NE</t>
  </si>
  <si>
    <t xml:space="preserve">Předmět pořízení: V rámci zjišťování potřeb území MAS Rokytná oblasti rozvoje nemotorové dopravy bylo identifikováno 8 projektů s cca 50 % pravděpodobností podání žádosti o financování přes MAS. Cílem těchto projektů je propojení menších sídel s blízkou větší obcí a to prostřednictvím zbudování nových cyklostezek.
Cena za jednotku: Jedná se cca 2,6 km cyklostezek  (cca v objemu 10,92 mil. Kč) Očekávaná průměrná cena za jednotku indikátoru vychází ze zjištěných rozpočtů analyzovaných projektů a dosahuje hodnoty 4,2 mil. Kč za jednotku (Důvodem k nižší hodnotě oproti normativu ŘO IROP jsou technické parametry a konkrétní podmínky v lokalitách realizace stávajících projektů, vycházeli jsme z projektových studií a rozpočtů zpracovaných dle cenové soustavy URS.).  
Cílová hodnota: Z technických parametrů zjištěných možných projektů byla zjištěna očekávaná délka nových cyklostezek v km. V úvahu byl brán také předpoklad možné přípravy dalších obdobných projektů.  Na základě těchto dvou skutečností byla stanovena úhrnná hodnota indikátoru na celkových 2 km. 
</t>
  </si>
  <si>
    <t xml:space="preserve">Předmět pořízení: Při zjišťování potřeb a absorpční kapacity území MAS v oblasti zvyšování připravenosti k řešení a řízení rizik a katastrof byly identifikovány 4 zvažované projekty dvou místních způsobilých jednotek požární ochrany zaměřené na pořízení nové techniky a věcných prostředků (šlo o pořízení  1 x velkokapacitní cisterny 3 mil. Kč a 2x mobilní cisterna - přívěs celkem 0,8 mil. Kč a 1x elektrocentrála 0,3 mil. Kč). Konkrétní složení financovaného setu bude záviset na charakteru vybraného projektu. Ceny byly ověřeny na základě cenového průzkumu v době sběru projektových záměrů na základě orientačních cenových nabídek od potenciálních dodavatelů, předložených ze strany nositelů projektového záměru.
Cena za jednotku: Průměrná Cena za jednotku indikátoru dosahuje 1,025 mil. Kč. Tato hodnota je nižší než stanovený normativ především z důvodů nižších očekávaných nákladů na pořizované vybavení.
Cílová hodnota: Na základě šetření provedeného v území, předpokládaného počtu projektů finálně předložených MAS k financování ze zdrojů IROP a dále na základě celkových disponibilních prostředků byl počet  nové techniky a věcných prostředků složek IZS stanoven na 1 set.
</t>
  </si>
  <si>
    <t xml:space="preserve">Předmět pořízení: Většina plánovaných projektů na straně vzdělávacích zařízení ZŠ je zaměřena na modernizaci konkrétních učeben jazykových, technických a přírodovědných oborů a podporuje v souladu s definicí indikátoru kapacity v řádu 20 - 30 míst. Plánované projekty na straně předškolních vzdělávacích zařízení jsou zaměřeny na modernizaci zařízení a pořízení pomůcek a úprav venkovního prostředí. Projetky infrastruktury pro zájmové a neformální vzdělávání mládeže jsou zaměřeny na modernizaci odborných učeben.
Cílová hodnota:  Hodnota celkové kapacity podpořených vzdělávacích zařízení vychází z kapacit vzdělávacích zařízení, u kterých existuje předpoklad podání způsobilých projektů.   Ze součtu těchto kapacit byla stanovena odhadovaná hodnota indikátoru pro rok 2023 na 150; očekávaný rozpad indikátor na jednotlivá podpořená vzdělávací zařízení: 
- ZŠ: 5x odborná učebna o kapacitě 22 žáků = 110 
- MŠ: dvě zařízení - modernizace prostor a venkovní úpravy, pořízení pomůcek = 30                                                                                                                        - zařízení pro zájmové a neformální vzdělávání mládeže 1x odborná učebna = 10
Skutečné hodnoty vyplynou z konkrétních podpořených projektů.
</t>
  </si>
  <si>
    <t>Jedná se o rodiče dětí, kteří jsou v pracovním procesu a využívají zařízení péče o děti do tří let. Průzkum mezi potenciálními žadateli, kolik osob se bude moci vrátit do zaměstnání. Hodnota indikátorů je dle výše plánováného projektu rovna 1 milionu Kč, v případě hodnoty indikátoru na 1 osobu je hodnota 166,6 tis. Kč. Nulová výchozí hodnota byla nastavena s ohledem na fakt, že v území MAS nejsou žádné jesle či jiné zařízení péče o děti do 3 let.</t>
  </si>
  <si>
    <t xml:space="preserve">Předmět pořízení: Parkovací místa budou mít pravděpodobně podobu stojanů na kola.
Cena za jednotku: Průměrné jednotkové náklady na zřízení jednoho parkovacího místa ve stojanu byly stanoveny na základě cenového šetření nákladů na pořízení stojanů na kola v místě obvyklých v době sběru projektových záměrů - na 2,2 tis. Kč. a byla stanovena na základě šetření cen v místě obvyklých. Průměrné náklady nepřekračují normativ 5 tis. Kč.
Cílová hodnota: Při analýze potřeb území bylo zjištěno, že zřizování parkovacích míst pro jízdní kola lze předpokládat především jako součást aktivit zaměřených na budování cyklostezek a cyklotras a při modernizaci přestupních terminálů ve veřejné dopravě. Vzhledem k očekávanému počtu projektů v těchto oblastech (cca 3) a jejich rozsahu (jeden přestupní terminál a 2 km cyklostezek) byl stanoven předpokládaný počet nově vytvořených parkovacích míst pro jízdní kola na 15. Předpokládané náklady na parkovací místa pro jízdní kola již byly zohledněny v průměrných nákladech přestuních terminálů a cyklostezek
</t>
  </si>
  <si>
    <t xml:space="preserve">Předmět pořízení: Na území MAS se nachází národní kulturní památka zámek Jaroměřice nad Rokytnou, pro kterou je připravováno několik projektů zaměřených na restaurování a obnovu vybraných částí objektu a jeho okolí.
Cena za jednotku: Cena za jednotku odpovídá 2 mil. Kč a reflektuje výši rozpočtů plánovaných projektů, které lze financovat ze zdrojů IROP přes MAS. Cena byla stanovena na základě předběžného rozpočtu stanoveného dle cenové soustavy URS.
Cílová hodnota: Odpovídá počtu způsosobilých památek na území MAS (1).
Milník k 31. 12. 2018: Z míry rozpracovanosti zvažovaných projektů plánovaných k možnému podání k financování přes MAS a z očekávaného časového harmonogramu výzev vyplývá, že žádný z projektů nebude finalizován do 31. 12. 2018. Proto je hodnota milníku ke konci roku 2018 stanovena na 0.
</t>
  </si>
  <si>
    <t xml:space="preserve">Předmět pořízení: V rámci šetření potřeb a projektových záměrů v oblasti přestupních terminálů pro veřejnou dopravu byly identifikovány 2 záměry 2 měst na území MAS na realizaci tohoto typu investice a to na území Moravských Budějovic a na území Jaroměřice nad Rokytnou. 
Cena za jednotku: Předpokládané náklady na jednotku indikátoru (tedy na 1 přestupní terminál) dosahují v průměru 7,43 mil. Kč a jsou stanoveny na základě zjištěných rozpočtů plánovaných projektů, které byly zpracovány k dokumentace pro stavební povolení na záladě cenové soustavy URS.
Cílová hodnota: V následujících letech mohou být identifikovány další obdobné projekty, avšak vzhledem k realizační náročnosti, současným podmínkám možnosti financování těchto projektů přes MAS a celkovým disponibilním zdrojům bylo počet zrealizovaných projektů naplánován na 1. 
Milník k 31. 12. 2018: Kompletní dokončení identifikovaných projektů je plánováno po roce 2018 a proto byla hodnota indikátoru k 31. 12. 2018 stanovena jako nulová.
</t>
  </si>
  <si>
    <r>
      <t xml:space="preserve">Předmět pořízení: Při analýze potřeb území bylo identifikováno 6 - 8 projektů zaměřených především na zvýšení parametrů bezpečnosti cyklistické a pěší dopravy (2x menší projekt v podobě úpravy přechodů pro chodce a 4 - 6 x větší investiční záměry, např. podchody na frekventovaných silnících či komplexní řešení rizikových křižovatek). Tři projekty jsou připraveny do úrovně stavebního řízení, ostatní jsou na úrovni záměru.
Cena za jednotku: Očekávané náklady na jednotku indikátoru dosahují v průměru 3,67 mil. Kč, jedná se o dvě realizace na rekonstrukce chodníků podél komunikace II. a III. třídy spojené s úpravou přechodů pro chodce (v objemu 7 mil - 2x realizace á 1 km á 3,5 mil. Kč) a jednu realizace vybudování podchodu na frekvetované křižovatce (v objemu 4 mil. Kč). Tato částka byla stanovena na základě hodnoty průměrných investičních nákladů analyzovaných plánovaných projektů zpracovaných dle cenové soustavy URS. Celkové náklady na realizace činí 11 mil. Kč / 3 realizace = 3,67 mil. Kč/1 realizace
Cílová hodnota: Vzhledem k realizační náročnosti (požadavky na komplexní řešení bezpečnosti), k podmínkám možnosti financování těchto projektů přes MAS a k celkovým disponibilním zdrojům byl očekávaný počet zrealizovaných projektů naplánován na 1. 
</t>
    </r>
    <r>
      <rPr>
        <sz val="11"/>
        <color rgb="FFFF0000"/>
        <rFont val="Calibri"/>
        <family val="2"/>
        <charset val="238"/>
      </rPr>
      <t/>
    </r>
  </si>
  <si>
    <t>Předmět pořízení: Zjišťování potřeb a plánovaných projektů subjektů na území MAS Rokytná v oblasti sociálního podnikání se zaměřilo na možnosti vytvoření dodatečného pracovního místa v rámci potenciálně podpořených projektů. Při šetření potřeb byl identifikován projekt na zřízení sociální dílny – více viz indikátor č. 1 00 00. (Skutečně podpořený projekt/projekty pak vzejde/vzejdou z výběrového procesu v rámci výzvy MAS).
Cena za jednotku: Celkové způsobilé náklady podpořeného projektu jsou očekávány ve výši cca 4,2 mil. Kč. Průměrné náklady připadající na jedno FTE vycházejí ze zjištěných potřeb potenciálního žadatele z řad sociálních podniků na území MAS. Tyto průměrné náklady odpovídají cenám v regionu obvyklým, protože jsou určeny na základě rozpočtů a parametrů (tj. plánovaného počtu FTE) připravovaného projektu.  Průměrné očekávané náklady na zřízení jednoho pracovního místa kalkulované jako podíl celkové plánované alokace na toto opatření a plánovaného počtu zřízených pracovních míst měřených metodou FTE (tj. 5,0) odpovídají hodnotě 840 Tis. Kč. Výše této jednotkové ceny na jedno zřízené FTE je ovlivněna skutečností, že v případě zřízení nižších jednotek pracovních míst při startu nového investičního projektu připadají na tyto nízké jednotky FTE veškeré vstupní/společné/fixní náklady související s investičním projektem a vstupují tak do výsledné jednotkové ceny.
Cílová hodnota: Zjištěný připravovaný projekt má odhadovaný potenciál vytvoření 5 pracovních míst z toho 2 pro znevýhodněné osoby (měřeno metodou FTE). Hodnota indikátoru č. 1 04 03 tudíž odpovídá 40 % hodnotě indikátoru č. 1 04 00).</t>
  </si>
  <si>
    <t xml:space="preserve">Předmět pořízení: Zjišťování potřeb a plánovaných projektů subjektů na území MAS Rokytná v oblasti sociálního podnikání se zaměřilo na možnosti vytvoření dodatečného pracovního místa v rámci potenciálně podpořených projektů. Při šetření potřeb byl identifikován projekt na zřízení sociální dílny – více viz indikátor č. 1 00 00. (Skutečně podpořený projekt/projekty pak vzejde/vzejdou z výběrového procesu v rámci výzvy MAS).
Cena za jednotku: Celkové způsobilé náklady podpořeného projektu jsou očekávány ve výši cca 4,2 mil. Kč. Průměrné náklady připadající na jedno FTE vycházejí ze zjištěných potřeb potenciálního žadatele z řad sociálních podniků na území MAS. Tyto průměrné náklady odpovídají cenám v regionu obvyklým, protože jsou určeny na základě rozpočtů a parametrů (tj. plánovaného počtu FTE) připravovaného projektu.  Průměrné očekávané náklady na zřízení jednoho pracovního místa kalkulované jako podíl celkové plánované alokace na toto opatření a plánovaného počtu zřízených pracovních míst měřených metodou FTE (tj. 5,0) odpovídají hodnotě 840 Til. Kč. Výše této jednotkové ceny na jedno zřízené FTE je ovlivněna skutečností, že v případě zřízení nižších jednotek pracovních míst při startu nového investičního projektu připadají na tyto nízké jednotky FTE veškeré vstupní/společné/fixní náklady související s investičním projektem a vstupují tak do výsledné jednotkové ceny.
Cílová hodnota: Zjištěný připravovaný projekt má odhadovaný potenciál vytvoření 5 pracovních míst z toho 2 pro znevýhodněné osoby (měřeno metodou FTE). Hodnota indikátoru č. 1 04 03 tudíž odpovídá 40 % hodnotě indikátoru č. 1 04 00).
</t>
  </si>
  <si>
    <t>Předmět pořízení: Na základě identifikovaných potřeb vzdělávacích zařízení na území MAS, které mohou být v souladu s cíli IROP financovaných přes MAS, jsou očekávány projekty modernizace či výstavby učeben jazykových a přírodovědných oborů a investice zaměřené na integraci studentů, u předškolních zařízení modernizace prostor zařízení, u MŠ včetně venkovních úprav apod. Většina projektů je situována do venkovského prostředí (menších ZŠ a MŠ). 
Cena za jednotku: Průměrné náklady na jednotku indikátoru vycházejí z očekávaných nákladů uvažovaných projektů financovaných z IROP přes MAS a dosahují cca 1 mil. Kč; (nižší hodnota oproti stanovenému normativu IROP z důvodu v průměru menšího rozsahu realizovaných investic). 
Cílová hodnota: Na základě očekávaných průměrných nákladů podpořených projektů a celkových disponibilníc zdrojů byl počet podpořených vzdělávacích zařízení stanoven na 4. Pokud jde o typ vzdělávacích zařízení, půjde o ZŠ, MŠ, DDM
Milník k 31. 12. 2018: Hodnota milníku vyplývá z předpokládaného data ukončení zvažovaných projektů. Vzhledem k nutnosti úplného vyúčtování a administrativního uzavření podpory očekáváme, že projekty realizačně ukončené ve druhé polovině roku 2018 nebudou ještě kompletně administrativně vypořádány (a tedy započteny do hodnoty indikátoru) k 31. 12. 2018. Na základě uvedených skutečností byla hodnota indikátoru k 31. 12. 2018 nastavena na 25 % celkové hodnoty indikátoru, tedy na 1.</t>
  </si>
  <si>
    <t xml:space="preserve">Předmět pořízení: V rámci zjišťování potřeb území v oblasti infrastruktury pro služby vedoucí k sociální inkluzi byly identifikovány následující 3 projekty: komunitní centrum a nízkoprahové zařízení, zázemí pro sociální služby poskytované v domově pro seniory (nejedná se o sociální služby výhradně pro seniory, ale o sociální služby poskytované široké cílové skupině) a vybudování nízkokapacitní pobytové služby pro lidi se zdravotním postižením. Na základě mapování absorpční kapacity očekáváme realizaci jednoho projektu v rámci aktivity „Podpora rozvoje infrastruktury komunitních center (nepolyfunkčních) za účelem sociálního začleňování a zvýšení uplatnitelnosti na trhu práce“ a jednoho projektu v rámci aktivity „Infrastruktura pro dostupnost a rozvoj sociální služby“. Předpokladem je, že obě zařízení budou poskytovat alespoň 1 službu dle zákona č.  č. . 108/2006 Sb. 
Cena za jednotku: celková alokace na výše uvedené dvě aktivity činí 2,032 mil. Kč, přičemž odhadovaná alokace na aktivitu (1 podpořené zařízení/zázemí) „Podpora rozvoje infrastruktury komunitních center (nepolyfunkčních) za účelem sociálního začleňování a zvýšení uplatnitelnosti na trhu práce“ z toho tvoří cca 1,532 mil. Kč (navýšení kapacity počtu osob využívajících zázemí komunitního charakteru je 10 osob, průměr na 1 osobu 153,2 tis. Kč) a odhadovaná alokace na aktivitu (1 podpořené zařízení/zázemí) „Infrastruktura pro dostupnost a rozvoj sociální služby“ tvoří cca 0,5 mil. Kč. Skutečné rozdělení alokace bude závislé na výsledku výběrového procesu. Tyto ceny byly stanoveny s použitím porovnání cen v realizovaných a tematicky a rozsahem totožných projektech a dále na základě dílčích položek identifikovaných projektů.
Cílová hodnota: Byla stanovena na 2, protože očekáváme realizaci jednoho projektu v rámci aktivity „Podpora rozvoje infrastruktury komunitních center (nepolyfunkčních) za účelem sociálního začleňování a zvýšení uplatnitelnosti na trhu práce“ a jednoho projektu v rámci aktivity „Infrastruktura pro dostupnost a rozvoj sociální služby“.
</t>
  </si>
  <si>
    <t>2.3.1.</t>
  </si>
  <si>
    <r>
      <t xml:space="preserve">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vycházelo stanovení očekávaných hodnot indikátorů především z parametrů předpokládaných projektů v oblasti příměstských táborů. Dle výsledu mapování projektů vycházíme z předpokladu, realizace 6-ti turnusů příměstských táborů v průběhu 3 let.
Celkový počet účastníků je stanoven na 52 jako celkový počet podpořených osob - ve smyslu </t>
    </r>
    <r>
      <rPr>
        <b/>
        <sz val="11"/>
        <color theme="1"/>
        <rFont val="Calibri"/>
        <family val="2"/>
        <charset val="238"/>
        <scheme val="minor"/>
      </rPr>
      <t>počtu rodičů</t>
    </r>
    <r>
      <rPr>
        <sz val="11"/>
        <color theme="1"/>
        <rFont val="Calibri"/>
        <family val="2"/>
        <charset val="238"/>
        <scheme val="minor"/>
      </rPr>
      <t>, kteří díky umístění svého dítěte mohou být v zaměstnání. V souladu s definicí indikátoru je každá osoba (rodič) započítána pouze jednou bez ohledu na to, kolik podpor obdržela (např. turnusů umístění svého dítěte - předpokládáme minimální počet 6-ti turnusů s kapacitou minimálně 10 dětí při jednotlivém turnusu). Při předpokladu, že se některé děti účastní opakovaně nebo se jedná o sourozence, předpoklad celkového počtu účatníků je 52 osob. 
Milník k 31: 12. 2018: očekáváme realizaci první části aktivit odpovídající přibližně čtvrtině stanoveného cíle v roce 2018.</t>
    </r>
  </si>
  <si>
    <t>Počet osob pracujíícch v rámci flexibilních forem práce</t>
  </si>
  <si>
    <t>výsledku</t>
  </si>
  <si>
    <t>Vzhledem k výstupům šetření je očekávána především podpora příměstských táborů, MAS nepředpokládá, že účastníci získají možnost pracovat v rámci flexibilních forem práce.                                                                                                                                                                                                                Milník k 31: 12. 2018: neočekáváme realizaci části aktivit zaměřené flexibilní formy práce do konce roku 2018.</t>
  </si>
  <si>
    <t>Na základě znalosti situace a potřeb území MAS Rokytná v oblasti podpory prorodinných opatření  jsou očekávány především záměry na realizaci příměstských táborů. Není předpoklad dopadu na zaměstnavatele pro vytváření flexibilních forem práce.</t>
  </si>
  <si>
    <t>zařízení</t>
  </si>
  <si>
    <t>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vycházelo stanovení očekávaných hodnot indikátoru především z parametrů předpokládaných projektů v oblasti příměstských táborů. Dle výsledu mapování projektů vycházíme z předpokladu, realizace 6-ti turnusů příměstských táborů v průběhu 3 let (délka projektu 3 roky, počet turnusů v roce minimálně 2 turnusy). Ze šetření vyplynulo, že průměrné minimální vytížení je 86%.  Celkový počet účastníků je stanoven na 52 jako celkový počet podpořených osob - ve smyslu počtu rodičů, kteří díky umístění svého dítěte mohou být v zaměstnání. V souladu s definicí indikátoru je každá osoba (rodič) započítána pouze jednou bez ohledu na to, kolik podpor obdržela (např. turnusů umístění svého dítěte - předpokládáme minimální počet 6-ti turnusů s kapacitou minimálně 10 dětí při jednotlivém turnusu). Při předpokladu, že se některé děti účastní opakovaně nebo se jedná o sourozence, předpoklad celkového počtu účastníků je 52 osob.  Tato hodnota vychází z odhadu absorpční kapacity a poptávky po tomto typu aktivit v území (především ve větších sídlech a jejich okolí).</t>
  </si>
  <si>
    <t>Na základě provedené analýzy a průzkumu potenciálních projektu, se ukázalo, že bude očekáváná především realizace příměstských táborů. MAS nepředpokládá dopad do oblasti zvyšování kvalifikace ve vztahu k účastníkům.</t>
  </si>
  <si>
    <t>Účastníci zaměstnaní po ukončení své účasti, včetně OSVČ</t>
  </si>
  <si>
    <t>Na základě provedené analýzy a průzkumu potenciálních projektu, se ukázalo, že bude očekáváná především realizace příměstských táborů. MAS nepředpokládá přímý dopad na účastníky ve vztahu k nalezení zaměstnání.</t>
  </si>
  <si>
    <t>Znevýchodnněí účastníci, kteří po ukončení své účasti hledají zaměsstnání, jsou v procesu vzdělávání/odborné přípravy, rozšiřují si kvalifikaci nebou jsou zaměstnaní, a to i OSVČ</t>
  </si>
  <si>
    <t>Na základě provedené analýzy a průzkumu potenciálních projektu, se ukázalo, že bude očekáváná především realizace příměstských táborů. MAS nepředpokládá přímý dopad na účastníky ve vztahu k nalezení zaměstnání, vstupu do procesu vzdělávání nebo odborné přípravy či rozšíření vlastní kvalifikace.</t>
  </si>
  <si>
    <t xml:space="preserve">Účastníci zaměstnaní 6 měsíců po ukončení své účasti, včetně OSVČ </t>
  </si>
  <si>
    <t xml:space="preserve">Znevýhodnění účastníci ve věku nad 54 let zaměstnaní 6 měsíců po ukončení své účasti, včetně OSVČ </t>
  </si>
  <si>
    <t>Počet napsaných a zveřejněných analytických  strategických materiálů (vč. evaluačních)</t>
  </si>
  <si>
    <t>dokument</t>
  </si>
  <si>
    <t>MAS nepředpokládá tvorbu analytických strategických materiálů mapujících situaci na trhu s nabídkou umístění dětí v době mimoškolních aktivit ve vztahu k potřebám zaměstnaných rodičů.                                                                                                                  Milník k 31: 12. 2018: neočekáváme realizaci strategických materiálů konce roku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</si>
</sst>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000"/>
    <numFmt numFmtId="166" formatCode="0.0"/>
  </numFmts>
  <fonts count="26"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7"/>
      <color theme="1"/>
      <name val="Calibri"/>
      <family val="2"/>
      <charset val="238"/>
      <scheme val="minor"/>
    </font>
    <font>
      <sz val="7"/>
      <color theme="1"/>
      <name val="Calibri"/>
      <family val="2"/>
      <charset val="238"/>
      <scheme val="minor"/>
    </font>
    <font>
      <b/>
      <sz val="7"/>
      <color rgb="FFFFFFFF"/>
      <name val="Calibri"/>
      <family val="2"/>
      <charset val="238"/>
      <scheme val="minor"/>
    </font>
    <font>
      <sz val="11"/>
      <color indexed="8"/>
      <name val="Calibri"/>
      <family val="2"/>
      <charset val="238"/>
    </font>
    <font>
      <b/>
      <sz val="9"/>
      <color rgb="FFFFFFFF"/>
      <name val="Calibri"/>
      <family val="2"/>
      <charset val="238"/>
      <scheme val="minor"/>
    </font>
    <font>
      <sz val="9"/>
      <color theme="1"/>
      <name val="Calibri"/>
      <family val="2"/>
      <charset val="238"/>
      <scheme val="minor"/>
    </font>
    <font>
      <b/>
      <sz val="9"/>
      <color theme="1"/>
      <name val="Calibri"/>
      <family val="2"/>
      <charset val="238"/>
      <scheme val="minor"/>
    </font>
    <font>
      <sz val="8"/>
      <color theme="1"/>
      <name val="Calibri"/>
      <family val="2"/>
      <charset val="238"/>
      <scheme val="minor"/>
    </font>
    <font>
      <sz val="9"/>
      <color indexed="81"/>
      <name val="Tahoma"/>
      <family val="2"/>
      <charset val="238"/>
    </font>
    <font>
      <b/>
      <sz val="9"/>
      <name val="Calibri"/>
      <family val="2"/>
      <charset val="238"/>
      <scheme val="minor"/>
    </font>
    <font>
      <b/>
      <sz val="12"/>
      <color theme="1"/>
      <name val="Calibri"/>
      <family val="2"/>
      <charset val="238"/>
      <scheme val="minor"/>
    </font>
    <font>
      <b/>
      <sz val="14"/>
      <color theme="1"/>
      <name val="Calibri"/>
      <family val="2"/>
      <charset val="238"/>
      <scheme val="minor"/>
    </font>
    <font>
      <b/>
      <sz val="10"/>
      <color theme="1"/>
      <name val="Calibri"/>
      <family val="2"/>
      <charset val="238"/>
      <scheme val="minor"/>
    </font>
    <font>
      <sz val="10"/>
      <color theme="1"/>
      <name val="Calibri"/>
      <family val="2"/>
      <charset val="238"/>
      <scheme val="minor"/>
    </font>
    <font>
      <b/>
      <sz val="10"/>
      <color rgb="FFFFFFFF"/>
      <name val="Calibri"/>
      <family val="2"/>
      <charset val="238"/>
      <scheme val="minor"/>
    </font>
    <font>
      <sz val="10"/>
      <name val="Calibri"/>
      <family val="2"/>
      <charset val="238"/>
      <scheme val="minor"/>
    </font>
    <font>
      <b/>
      <sz val="10"/>
      <color rgb="FFFF0000"/>
      <name val="Calibri"/>
      <family val="2"/>
      <charset val="238"/>
      <scheme val="minor"/>
    </font>
    <font>
      <sz val="9"/>
      <name val="Calibri"/>
      <family val="2"/>
      <charset val="238"/>
      <scheme val="minor"/>
    </font>
    <font>
      <sz val="11"/>
      <color rgb="FFFF0000"/>
      <name val="Calibri"/>
      <family val="2"/>
      <charset val="238"/>
    </font>
    <font>
      <sz val="11"/>
      <name val="Calibri"/>
      <family val="2"/>
      <charset val="238"/>
    </font>
    <font>
      <sz val="11"/>
      <name val="Calibri"/>
      <family val="2"/>
      <charset val="238"/>
      <scheme val="minor"/>
    </font>
    <font>
      <sz val="10"/>
      <name val="Calibri"/>
      <family val="2"/>
      <charset val="238"/>
    </font>
    <font>
      <sz val="9"/>
      <name val="Calibri"/>
      <family val="2"/>
      <charset val="238"/>
    </font>
  </fonts>
  <fills count="10">
    <fill>
      <patternFill patternType="none"/>
    </fill>
    <fill>
      <patternFill patternType="gray125"/>
    </fill>
    <fill>
      <patternFill patternType="solid">
        <fgColor rgb="FFFABF8F"/>
        <bgColor indexed="64"/>
      </patternFill>
    </fill>
    <fill>
      <patternFill patternType="solid">
        <fgColor rgb="FFFDE9D9"/>
        <bgColor indexed="64"/>
      </patternFill>
    </fill>
    <fill>
      <patternFill patternType="solid">
        <fgColor rgb="FFFBD4B4"/>
        <bgColor indexed="64"/>
      </patternFill>
    </fill>
    <fill>
      <patternFill patternType="solid">
        <fgColor rgb="FF984806"/>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s>
  <borders count="99">
    <border>
      <left/>
      <right/>
      <top/>
      <bottom/>
      <diagonal/>
    </border>
    <border>
      <left/>
      <right style="medium">
        <color rgb="FFFFFFFF"/>
      </right>
      <top/>
      <bottom style="medium">
        <color indexed="64"/>
      </bottom>
      <diagonal/>
    </border>
    <border>
      <left/>
      <right style="medium">
        <color rgb="FFFFFFFF"/>
      </right>
      <top style="medium">
        <color rgb="FFFFFFFF"/>
      </top>
      <bottom style="medium">
        <color indexed="64"/>
      </bottom>
      <diagonal/>
    </border>
    <border>
      <left/>
      <right style="medium">
        <color rgb="FFFFFFFF"/>
      </right>
      <top/>
      <bottom style="medium">
        <color rgb="FFFFFFFF"/>
      </bottom>
      <diagonal/>
    </border>
    <border>
      <left style="medium">
        <color indexed="64"/>
      </left>
      <right style="medium">
        <color rgb="FFFFFFFF"/>
      </right>
      <top/>
      <bottom/>
      <diagonal/>
    </border>
    <border>
      <left style="medium">
        <color rgb="FFFFFFFF"/>
      </left>
      <right style="medium">
        <color rgb="FFFFFFFF"/>
      </right>
      <top style="medium">
        <color rgb="FFFFFFFF"/>
      </top>
      <bottom/>
      <diagonal/>
    </border>
    <border>
      <left style="medium">
        <color indexed="64"/>
      </left>
      <right style="medium">
        <color rgb="FFFFFFFF"/>
      </right>
      <top style="medium">
        <color rgb="FFFFFFFF"/>
      </top>
      <bottom/>
      <diagonal/>
    </border>
    <border>
      <left style="medium">
        <color rgb="FFFFFFFF"/>
      </left>
      <right style="medium">
        <color rgb="FFFFFFFF"/>
      </right>
      <top/>
      <bottom/>
      <diagonal/>
    </border>
    <border>
      <left style="medium">
        <color rgb="FFFFFFFF"/>
      </left>
      <right/>
      <top/>
      <bottom style="medium">
        <color rgb="FFFFFFFF"/>
      </bottom>
      <diagonal/>
    </border>
    <border>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style="medium">
        <color rgb="FFFFFFFF"/>
      </top>
      <bottom style="medium">
        <color rgb="FFFFFFFF"/>
      </bottom>
      <diagonal/>
    </border>
    <border>
      <left/>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indexed="64"/>
      </top>
      <bottom style="medium">
        <color rgb="FFFFFFFF"/>
      </bottom>
      <diagonal/>
    </border>
    <border>
      <left style="medium">
        <color indexed="64"/>
      </left>
      <right/>
      <top style="medium">
        <color indexed="64"/>
      </top>
      <bottom style="medium">
        <color rgb="FFFFFFFF"/>
      </bottom>
      <diagonal/>
    </border>
    <border>
      <left/>
      <right/>
      <top/>
      <bottom style="medium">
        <color rgb="FFFFFFFF"/>
      </bottom>
      <diagonal/>
    </border>
    <border>
      <left style="medium">
        <color indexed="64"/>
      </left>
      <right/>
      <top/>
      <bottom/>
      <diagonal/>
    </border>
    <border>
      <left style="medium">
        <color rgb="FFFFFFFF"/>
      </left>
      <right style="medium">
        <color rgb="FFFFFFFF"/>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thick">
        <color rgb="FFFFFFFF"/>
      </right>
      <top style="thick">
        <color rgb="FFFFFFFF"/>
      </top>
      <bottom/>
      <diagonal/>
    </border>
    <border>
      <left/>
      <right style="medium">
        <color rgb="FFFFFFFF"/>
      </right>
      <top/>
      <bottom/>
      <diagonal/>
    </border>
    <border>
      <left style="medium">
        <color rgb="FFFFFFFF"/>
      </left>
      <right style="thick">
        <color rgb="FFFFFFFF"/>
      </right>
      <top/>
      <bottom/>
      <diagonal/>
    </border>
    <border>
      <left style="medium">
        <color rgb="FFFFFFFF"/>
      </left>
      <right style="thick">
        <color rgb="FFFFFFFF"/>
      </right>
      <top/>
      <bottom style="medium">
        <color rgb="FFFFFFFF"/>
      </bottom>
      <diagonal/>
    </border>
    <border>
      <left style="medium">
        <color rgb="FFFFFFFF"/>
      </left>
      <right style="thick">
        <color rgb="FFFFFFFF"/>
      </right>
      <top style="medium">
        <color rgb="FFFFFFFF"/>
      </top>
      <bottom/>
      <diagonal/>
    </border>
    <border>
      <left style="medium">
        <color rgb="FFFFFFFF"/>
      </left>
      <right style="thick">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indexed="64"/>
      </left>
      <right/>
      <top/>
      <bottom style="medium">
        <color rgb="FFFFFFFF"/>
      </bottom>
      <diagonal/>
    </border>
    <border>
      <left/>
      <right/>
      <top style="medium">
        <color rgb="FFFFFFFF"/>
      </top>
      <bottom/>
      <diagonal/>
    </border>
    <border>
      <left style="medium">
        <color theme="0"/>
      </left>
      <right style="medium">
        <color rgb="FFFFFFFF"/>
      </right>
      <top style="medium">
        <color rgb="FFFFFFFF"/>
      </top>
      <bottom style="medium">
        <color theme="0"/>
      </bottom>
      <diagonal/>
    </border>
    <border>
      <left style="medium">
        <color theme="0"/>
      </left>
      <right style="medium">
        <color rgb="FFFFFFFF"/>
      </right>
      <top style="medium">
        <color theme="0"/>
      </top>
      <bottom style="medium">
        <color theme="0"/>
      </bottom>
      <diagonal/>
    </border>
    <border>
      <left style="medium">
        <color indexed="64"/>
      </left>
      <right style="medium">
        <color rgb="FFFFFFFF"/>
      </right>
      <top/>
      <bottom style="medium">
        <color theme="0"/>
      </bottom>
      <diagonal/>
    </border>
    <border>
      <left style="medium">
        <color rgb="FFFFFFFF"/>
      </left>
      <right style="medium">
        <color rgb="FFFFFFFF"/>
      </right>
      <top style="medium">
        <color theme="0"/>
      </top>
      <bottom style="medium">
        <color theme="0"/>
      </bottom>
      <diagonal/>
    </border>
    <border>
      <left style="medium">
        <color rgb="FFFFFFFF"/>
      </left>
      <right style="medium">
        <color rgb="FFFFFFFF"/>
      </right>
      <top style="medium">
        <color rgb="FFFFFFFF"/>
      </top>
      <bottom style="medium">
        <color theme="0"/>
      </bottom>
      <diagonal/>
    </border>
    <border>
      <left style="medium">
        <color indexed="64"/>
      </left>
      <right style="medium">
        <color theme="0"/>
      </right>
      <top/>
      <bottom/>
      <diagonal/>
    </border>
    <border>
      <left style="medium">
        <color indexed="64"/>
      </left>
      <right style="medium">
        <color rgb="FFFFFFFF"/>
      </right>
      <top style="medium">
        <color rgb="FFFFFFFF"/>
      </top>
      <bottom style="medium">
        <color auto="1"/>
      </bottom>
      <diagonal/>
    </border>
    <border>
      <left style="medium">
        <color rgb="FFFFFFFF"/>
      </left>
      <right style="medium">
        <color rgb="FFFFFFFF"/>
      </right>
      <top style="medium">
        <color rgb="FFFFFFFF"/>
      </top>
      <bottom style="medium">
        <color auto="1"/>
      </bottom>
      <diagonal/>
    </border>
    <border>
      <left style="medium">
        <color rgb="FFFFFFFF"/>
      </left>
      <right/>
      <top/>
      <bottom/>
      <diagonal/>
    </border>
    <border>
      <left style="medium">
        <color indexed="64"/>
      </left>
      <right style="medium">
        <color theme="0"/>
      </right>
      <top style="medium">
        <color indexed="64"/>
      </top>
      <bottom/>
      <diagonal/>
    </border>
    <border>
      <left/>
      <right style="medium">
        <color rgb="FFFFFFFF"/>
      </right>
      <top style="medium">
        <color indexed="64"/>
      </top>
      <bottom style="medium">
        <color rgb="FFFFFFFF"/>
      </bottom>
      <diagonal/>
    </border>
    <border>
      <left style="medium">
        <color theme="0"/>
      </left>
      <right style="medium">
        <color rgb="FFFFFFFF"/>
      </right>
      <top style="medium">
        <color indexed="64"/>
      </top>
      <bottom style="medium">
        <color theme="0"/>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theme="0"/>
      </right>
      <top/>
      <bottom style="medium">
        <color indexed="64"/>
      </bottom>
      <diagonal/>
    </border>
    <border>
      <left style="medium">
        <color theme="0"/>
      </left>
      <right style="medium">
        <color rgb="FFFFFFFF"/>
      </right>
      <top style="medium">
        <color theme="0"/>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rgb="FFFFFFFF"/>
      </left>
      <right/>
      <top style="medium">
        <color indexed="64"/>
      </top>
      <bottom/>
      <diagonal/>
    </border>
    <border>
      <left style="medium">
        <color rgb="FFFFFFFF"/>
      </left>
      <right/>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rgb="FFFFFFFF"/>
      </right>
      <top style="medium">
        <color indexed="64"/>
      </top>
      <bottom/>
      <diagonal/>
    </border>
    <border>
      <left style="medium">
        <color rgb="FFFFFFFF"/>
      </left>
      <right style="medium">
        <color rgb="FFFFFFFF"/>
      </right>
      <top style="medium">
        <color indexed="64"/>
      </top>
      <bottom style="thin">
        <color theme="0"/>
      </bottom>
      <diagonal/>
    </border>
    <border>
      <left style="medium">
        <color rgb="FFFFFFFF"/>
      </left>
      <right style="medium">
        <color rgb="FFFFFFFF"/>
      </right>
      <top/>
      <bottom style="thin">
        <color theme="0"/>
      </bottom>
      <diagonal/>
    </border>
    <border>
      <left style="medium">
        <color rgb="FFFFFFFF"/>
      </left>
      <right style="thin">
        <color indexed="64"/>
      </right>
      <top style="medium">
        <color rgb="FFFFFFFF"/>
      </top>
      <bottom/>
      <diagonal/>
    </border>
    <border>
      <left style="medium">
        <color rgb="FFFFFFFF"/>
      </left>
      <right style="thin">
        <color indexed="64"/>
      </right>
      <top/>
      <bottom/>
      <diagonal/>
    </border>
    <border>
      <left style="medium">
        <color indexed="64"/>
      </left>
      <right style="medium">
        <color rgb="FFFFFFFF"/>
      </right>
      <top style="medium">
        <color theme="0"/>
      </top>
      <bottom/>
      <diagonal/>
    </border>
    <border>
      <left style="medium">
        <color theme="0"/>
      </left>
      <right style="medium">
        <color rgb="FFFFFFFF"/>
      </right>
      <top style="medium">
        <color rgb="FFFFFFFF"/>
      </top>
      <bottom/>
      <diagonal/>
    </border>
    <border>
      <left style="medium">
        <color theme="0"/>
      </left>
      <right style="medium">
        <color rgb="FFFFFFFF"/>
      </right>
      <top style="medium">
        <color theme="0"/>
      </top>
      <bottom/>
      <diagonal/>
    </border>
    <border>
      <left style="medium">
        <color rgb="FFFFFFFF"/>
      </left>
      <right style="medium">
        <color rgb="FFFFFFFF"/>
      </right>
      <top style="medium">
        <color theme="0"/>
      </top>
      <bottom/>
      <diagonal/>
    </border>
    <border>
      <left style="medium">
        <color rgb="FFFFFFFF"/>
      </left>
      <right/>
      <top style="medium">
        <color theme="0"/>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rgb="FFFFFFFF"/>
      </right>
      <top style="medium">
        <color theme="0"/>
      </top>
      <bottom style="medium">
        <color rgb="FFFFFFFF"/>
      </bottom>
      <diagonal/>
    </border>
    <border>
      <left/>
      <right style="medium">
        <color theme="0"/>
      </right>
      <top style="medium">
        <color theme="0"/>
      </top>
      <bottom style="medium">
        <color rgb="FFFFFFFF"/>
      </bottom>
      <diagonal/>
    </border>
    <border>
      <left style="medium">
        <color theme="0"/>
      </left>
      <right style="medium">
        <color theme="0"/>
      </right>
      <top style="medium">
        <color rgb="FFFFFFFF"/>
      </top>
      <bottom/>
      <diagonal/>
    </border>
    <border>
      <left/>
      <right style="medium">
        <color theme="0"/>
      </right>
      <top/>
      <bottom style="medium">
        <color rgb="FFFFFFFF"/>
      </bottom>
      <diagonal/>
    </border>
    <border>
      <left style="medium">
        <color theme="0"/>
      </left>
      <right style="medium">
        <color theme="0"/>
      </right>
      <top style="medium">
        <color rgb="FFFFFFFF"/>
      </top>
      <bottom style="medium">
        <color theme="0"/>
      </bottom>
      <diagonal/>
    </border>
    <border>
      <left/>
      <right style="medium">
        <color rgb="FFFFFFFF"/>
      </right>
      <top/>
      <bottom style="medium">
        <color theme="0"/>
      </bottom>
      <diagonal/>
    </border>
    <border>
      <left/>
      <right style="medium">
        <color theme="0"/>
      </right>
      <top/>
      <bottom style="medium">
        <color theme="0"/>
      </bottom>
      <diagonal/>
    </border>
    <border>
      <left style="medium">
        <color indexed="64"/>
      </left>
      <right style="medium">
        <color rgb="FFFFFFFF"/>
      </right>
      <top style="medium">
        <color rgb="FFFFFFFF"/>
      </top>
      <bottom style="thin">
        <color theme="0"/>
      </bottom>
      <diagonal/>
    </border>
    <border>
      <left style="thin">
        <color theme="0"/>
      </left>
      <right style="medium">
        <color rgb="FFFFFFFF"/>
      </right>
      <top style="medium">
        <color rgb="FFFFFFFF"/>
      </top>
      <bottom style="medium">
        <color theme="0"/>
      </bottom>
      <diagonal/>
    </border>
    <border>
      <left style="medium">
        <color indexed="64"/>
      </left>
      <right style="medium">
        <color rgb="FFFFFFFF"/>
      </right>
      <top style="thin">
        <color theme="0"/>
      </top>
      <bottom style="medium">
        <color rgb="FFFFFFFF"/>
      </bottom>
      <diagonal/>
    </border>
    <border>
      <left style="medium">
        <color indexed="64"/>
      </left>
      <right style="medium">
        <color theme="0"/>
      </right>
      <top style="thin">
        <color theme="0"/>
      </top>
      <bottom style="medium">
        <color indexed="64"/>
      </bottom>
      <diagonal/>
    </border>
    <border>
      <left style="medium">
        <color theme="0"/>
      </left>
      <right style="medium">
        <color theme="0"/>
      </right>
      <top style="medium">
        <color rgb="FFFFFFFF"/>
      </top>
      <bottom style="thin">
        <color theme="0"/>
      </bottom>
      <diagonal/>
    </border>
    <border>
      <left style="medium">
        <color theme="0"/>
      </left>
      <right style="medium">
        <color rgb="FFFFFFFF"/>
      </right>
      <top style="medium">
        <color theme="0"/>
      </top>
      <bottom style="thin">
        <color theme="0"/>
      </bottom>
      <diagonal/>
    </border>
    <border>
      <left style="medium">
        <color theme="0"/>
      </left>
      <right style="medium">
        <color rgb="FFFFFFFF"/>
      </right>
      <top/>
      <bottom style="medium">
        <color indexed="64"/>
      </bottom>
      <diagonal/>
    </border>
    <border>
      <left style="medium">
        <color rgb="FFFFFFFF"/>
      </left>
      <right style="medium">
        <color rgb="FFFFFFFF"/>
      </right>
      <top style="medium">
        <color rgb="FFFFFFFF"/>
      </top>
      <bottom style="thin">
        <color theme="0"/>
      </bottom>
      <diagonal/>
    </border>
    <border>
      <left style="medium">
        <color rgb="FFFFFFFF"/>
      </left>
      <right style="medium">
        <color rgb="FFFFFFFF"/>
      </right>
      <top style="thin">
        <color theme="0"/>
      </top>
      <bottom style="medium">
        <color indexed="64"/>
      </bottom>
      <diagonal/>
    </border>
    <border>
      <left style="medium">
        <color rgb="FFFFFFFF"/>
      </left>
      <right/>
      <top style="thin">
        <color theme="0"/>
      </top>
      <bottom style="thin">
        <color theme="0"/>
      </bottom>
      <diagonal/>
    </border>
    <border>
      <left/>
      <right/>
      <top/>
      <bottom style="thin">
        <color theme="0"/>
      </bottom>
      <diagonal/>
    </border>
    <border>
      <left style="medium">
        <color rgb="FFFFFFFF"/>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style="thin">
        <color theme="0"/>
      </top>
      <bottom style="thin">
        <color theme="0"/>
      </bottom>
      <diagonal/>
    </border>
    <border>
      <left style="medium">
        <color indexed="64"/>
      </left>
      <right style="medium">
        <color theme="0"/>
      </right>
      <top style="medium">
        <color indexed="64"/>
      </top>
      <bottom style="thin">
        <color theme="0"/>
      </bottom>
      <diagonal/>
    </border>
    <border>
      <left/>
      <right/>
      <top/>
      <bottom style="medium">
        <color theme="0"/>
      </bottom>
      <diagonal/>
    </border>
    <border>
      <left/>
      <right style="medium">
        <color theme="0"/>
      </right>
      <top/>
      <bottom/>
      <diagonal/>
    </border>
    <border>
      <left style="medium">
        <color rgb="FFFFFFFF"/>
      </left>
      <right style="medium">
        <color rgb="FFFFFFFF"/>
      </right>
      <top style="thin">
        <color theme="0"/>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theme="0"/>
      </top>
      <bottom style="medium">
        <color rgb="FFFFFFFF"/>
      </bottom>
      <diagonal/>
    </border>
    <border>
      <left style="medium">
        <color rgb="FFFFFFFF"/>
      </left>
      <right/>
      <top style="medium">
        <color theme="0"/>
      </top>
      <bottom style="medium">
        <color rgb="FFFFFFFF"/>
      </bottom>
      <diagonal/>
    </border>
    <border>
      <left style="medium">
        <color theme="0"/>
      </left>
      <right style="medium">
        <color theme="0"/>
      </right>
      <top/>
      <bottom style="thin">
        <color theme="0"/>
      </bottom>
      <diagonal/>
    </border>
    <border>
      <left style="medium">
        <color theme="0"/>
      </left>
      <right/>
      <top/>
      <bottom style="medium">
        <color theme="0"/>
      </bottom>
      <diagonal/>
    </border>
    <border>
      <left style="medium">
        <color theme="0"/>
      </left>
      <right/>
      <top/>
      <bottom/>
      <diagonal/>
    </border>
    <border>
      <left style="medium">
        <color theme="0"/>
      </left>
      <right style="thin">
        <color theme="0"/>
      </right>
      <top style="medium">
        <color theme="0"/>
      </top>
      <bottom style="medium">
        <color theme="0"/>
      </bottom>
      <diagonal/>
    </border>
  </borders>
  <cellStyleXfs count="3">
    <xf numFmtId="0" fontId="0" fillId="0" borderId="0"/>
    <xf numFmtId="0" fontId="1" fillId="0" borderId="0"/>
    <xf numFmtId="0" fontId="6" fillId="0" borderId="0"/>
  </cellStyleXfs>
  <cellXfs count="353">
    <xf numFmtId="0" fontId="0" fillId="0" borderId="0" xfId="0"/>
    <xf numFmtId="0" fontId="1" fillId="0" borderId="0" xfId="1"/>
    <xf numFmtId="0" fontId="1" fillId="0" borderId="0" xfId="1" applyAlignment="1">
      <alignment horizontal="center"/>
    </xf>
    <xf numFmtId="0" fontId="2" fillId="0" borderId="17"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8" fillId="0" borderId="0" xfId="0" applyFont="1"/>
    <xf numFmtId="0" fontId="3" fillId="4" borderId="21"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3" borderId="3" xfId="0" applyFont="1" applyFill="1" applyBorder="1" applyAlignment="1">
      <alignment horizontal="center" vertical="center" wrapText="1"/>
    </xf>
    <xf numFmtId="4" fontId="8" fillId="0" borderId="0" xfId="0" applyNumberFormat="1" applyFont="1"/>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0" fillId="0" borderId="0" xfId="0" applyAlignment="1">
      <alignment horizontal="center"/>
    </xf>
    <xf numFmtId="0" fontId="3" fillId="4" borderId="21" xfId="1" applyFont="1" applyFill="1" applyBorder="1" applyAlignment="1">
      <alignment horizontal="center" vertical="center" wrapText="1"/>
    </xf>
    <xf numFmtId="0" fontId="3" fillId="2"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2" fillId="0" borderId="16" xfId="0" applyFont="1" applyBorder="1" applyAlignment="1">
      <alignment horizontal="center"/>
    </xf>
    <xf numFmtId="4" fontId="8" fillId="3" borderId="3" xfId="0" applyNumberFormat="1" applyFont="1" applyFill="1" applyBorder="1" applyAlignment="1">
      <alignment horizontal="center" vertical="center" wrapText="1"/>
    </xf>
    <xf numFmtId="4" fontId="8" fillId="3" borderId="21" xfId="0" applyNumberFormat="1" applyFont="1" applyFill="1" applyBorder="1" applyAlignment="1">
      <alignment horizontal="center" vertical="center" wrapText="1"/>
    </xf>
    <xf numFmtId="4" fontId="8" fillId="3" borderId="9" xfId="0" applyNumberFormat="1" applyFont="1" applyFill="1" applyBorder="1" applyAlignment="1">
      <alignment horizontal="center" vertical="center" wrapText="1"/>
    </xf>
    <xf numFmtId="4" fontId="8" fillId="7" borderId="3" xfId="0" applyNumberFormat="1" applyFont="1" applyFill="1" applyBorder="1" applyAlignment="1">
      <alignment horizontal="center" vertical="center" wrapText="1"/>
    </xf>
    <xf numFmtId="4" fontId="8" fillId="7" borderId="9" xfId="0" applyNumberFormat="1" applyFont="1" applyFill="1" applyBorder="1" applyAlignment="1">
      <alignment horizontal="center" vertical="center" wrapText="1"/>
    </xf>
    <xf numFmtId="4" fontId="8" fillId="4" borderId="3" xfId="0" applyNumberFormat="1" applyFont="1" applyFill="1" applyBorder="1" applyAlignment="1">
      <alignment horizontal="center" vertical="center" wrapText="1"/>
    </xf>
    <xf numFmtId="4" fontId="8" fillId="4" borderId="9" xfId="0" applyNumberFormat="1" applyFont="1" applyFill="1" applyBorder="1" applyAlignment="1">
      <alignment horizontal="center" vertical="center" wrapText="1"/>
    </xf>
    <xf numFmtId="4" fontId="12" fillId="2" borderId="3" xfId="0" applyNumberFormat="1" applyFont="1" applyFill="1" applyBorder="1" applyAlignment="1">
      <alignment horizontal="center" vertical="center" wrapText="1"/>
    </xf>
    <xf numFmtId="4" fontId="12" fillId="2" borderId="27" xfId="0" applyNumberFormat="1" applyFont="1" applyFill="1" applyBorder="1" applyAlignment="1">
      <alignment horizontal="center" vertical="center" wrapText="1"/>
    </xf>
    <xf numFmtId="0" fontId="7" fillId="5" borderId="24" xfId="0" applyFont="1" applyFill="1" applyBorder="1" applyAlignment="1">
      <alignment horizontal="center" vertical="center" wrapText="1"/>
    </xf>
    <xf numFmtId="4" fontId="9" fillId="0" borderId="0" xfId="0" applyNumberFormat="1" applyFont="1"/>
    <xf numFmtId="4" fontId="0" fillId="0" borderId="0" xfId="0" applyNumberFormat="1"/>
    <xf numFmtId="0" fontId="0" fillId="0" borderId="42" xfId="0" applyBorder="1"/>
    <xf numFmtId="4" fontId="8" fillId="0" borderId="43" xfId="0" applyNumberFormat="1" applyFont="1" applyBorder="1"/>
    <xf numFmtId="0" fontId="0" fillId="0" borderId="0" xfId="0" applyBorder="1"/>
    <xf numFmtId="4" fontId="8" fillId="0" borderId="44" xfId="0" applyNumberFormat="1" applyFont="1" applyBorder="1"/>
    <xf numFmtId="0" fontId="0" fillId="0" borderId="47" xfId="0" applyBorder="1"/>
    <xf numFmtId="4" fontId="8" fillId="0" borderId="48" xfId="0" applyNumberFormat="1" applyFont="1" applyBorder="1"/>
    <xf numFmtId="0" fontId="10" fillId="0" borderId="42" xfId="0" applyFont="1" applyBorder="1"/>
    <xf numFmtId="0" fontId="10" fillId="0" borderId="47" xfId="0" applyFont="1" applyBorder="1"/>
    <xf numFmtId="0" fontId="10" fillId="0" borderId="0" xfId="0" applyFont="1" applyBorder="1" applyAlignment="1">
      <alignment wrapText="1"/>
    </xf>
    <xf numFmtId="0" fontId="4" fillId="3" borderId="40" xfId="0" applyFont="1" applyFill="1" applyBorder="1" applyAlignment="1">
      <alignment horizontal="center" vertical="center" wrapText="1"/>
    </xf>
    <xf numFmtId="4" fontId="8" fillId="0" borderId="42" xfId="0" applyNumberFormat="1" applyFont="1" applyBorder="1"/>
    <xf numFmtId="0" fontId="0" fillId="0" borderId="43" xfId="0" applyBorder="1"/>
    <xf numFmtId="4" fontId="8" fillId="0" borderId="0" xfId="0" applyNumberFormat="1" applyFont="1" applyBorder="1"/>
    <xf numFmtId="0" fontId="0" fillId="0" borderId="44" xfId="0" applyBorder="1"/>
    <xf numFmtId="4" fontId="8" fillId="0" borderId="47" xfId="0" applyNumberFormat="1" applyFont="1" applyBorder="1"/>
    <xf numFmtId="164" fontId="0" fillId="0" borderId="47" xfId="0" applyNumberFormat="1" applyBorder="1"/>
    <xf numFmtId="0" fontId="0" fillId="0" borderId="48" xfId="0" applyBorder="1"/>
    <xf numFmtId="1" fontId="8" fillId="0" borderId="42" xfId="0" applyNumberFormat="1" applyFont="1" applyBorder="1"/>
    <xf numFmtId="165" fontId="0" fillId="0" borderId="42" xfId="0" applyNumberFormat="1" applyBorder="1"/>
    <xf numFmtId="1" fontId="8" fillId="0" borderId="0" xfId="0" applyNumberFormat="1" applyFont="1" applyBorder="1"/>
    <xf numFmtId="165" fontId="0" fillId="0" borderId="0" xfId="0" applyNumberFormat="1" applyBorder="1"/>
    <xf numFmtId="1" fontId="8" fillId="0" borderId="47" xfId="0" applyNumberFormat="1" applyFont="1" applyBorder="1"/>
    <xf numFmtId="165" fontId="0" fillId="0" borderId="47" xfId="0" applyNumberFormat="1" applyBorder="1"/>
    <xf numFmtId="0" fontId="3" fillId="2"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10" fillId="0" borderId="42" xfId="0" applyFont="1" applyBorder="1" applyAlignment="1"/>
    <xf numFmtId="165" fontId="10" fillId="0" borderId="42" xfId="0" applyNumberFormat="1" applyFont="1" applyBorder="1" applyAlignment="1">
      <alignment wrapText="1"/>
    </xf>
    <xf numFmtId="165" fontId="10" fillId="0" borderId="0" xfId="0" applyNumberFormat="1" applyFont="1" applyBorder="1" applyAlignment="1">
      <alignment wrapText="1"/>
    </xf>
    <xf numFmtId="0" fontId="4" fillId="3" borderId="1" xfId="0" applyFont="1" applyFill="1" applyBorder="1" applyAlignment="1">
      <alignment horizontal="center" vertical="center" wrapText="1"/>
    </xf>
    <xf numFmtId="165" fontId="10" fillId="0" borderId="47" xfId="0" applyNumberFormat="1" applyFont="1" applyBorder="1" applyAlignment="1">
      <alignment wrapText="1"/>
    </xf>
    <xf numFmtId="0" fontId="3" fillId="2" borderId="52" xfId="0" applyFont="1" applyFill="1" applyBorder="1" applyAlignment="1">
      <alignment vertical="center" wrapText="1"/>
    </xf>
    <xf numFmtId="165" fontId="8" fillId="0" borderId="42" xfId="0" applyNumberFormat="1" applyFont="1" applyBorder="1" applyAlignment="1">
      <alignment wrapText="1"/>
    </xf>
    <xf numFmtId="165" fontId="8" fillId="0" borderId="0" xfId="0" applyNumberFormat="1" applyFont="1" applyBorder="1" applyAlignment="1">
      <alignment wrapText="1"/>
    </xf>
    <xf numFmtId="165" fontId="8" fillId="0" borderId="47" xfId="0" applyNumberFormat="1" applyFont="1" applyBorder="1" applyAlignment="1">
      <alignment wrapText="1"/>
    </xf>
    <xf numFmtId="4" fontId="1" fillId="0" borderId="0" xfId="1" applyNumberFormat="1"/>
    <xf numFmtId="0" fontId="16" fillId="0" borderId="0" xfId="1" applyFont="1"/>
    <xf numFmtId="0" fontId="15" fillId="4" borderId="21" xfId="1" applyFont="1" applyFill="1" applyBorder="1" applyAlignment="1">
      <alignment horizontal="center" vertical="center" wrapText="1"/>
    </xf>
    <xf numFmtId="0" fontId="15" fillId="7" borderId="3" xfId="1" applyFont="1" applyFill="1" applyBorder="1" applyAlignment="1">
      <alignment horizontal="center" vertical="center" wrapText="1"/>
    </xf>
    <xf numFmtId="0" fontId="16" fillId="0" borderId="0" xfId="1" applyFont="1" applyAlignment="1">
      <alignment horizontal="center"/>
    </xf>
    <xf numFmtId="0" fontId="8" fillId="0" borderId="0" xfId="1" applyFont="1"/>
    <xf numFmtId="0" fontId="2" fillId="2" borderId="64" xfId="1" applyFont="1" applyFill="1" applyBorder="1" applyAlignment="1">
      <alignment horizontal="center" vertical="center" wrapText="1"/>
    </xf>
    <xf numFmtId="0" fontId="1" fillId="4" borderId="60" xfId="1" applyFont="1" applyFill="1" applyBorder="1" applyAlignment="1">
      <alignment horizontal="center" vertical="center" wrapText="1"/>
    </xf>
    <xf numFmtId="0" fontId="2" fillId="2" borderId="67" xfId="1" applyFont="1" applyFill="1" applyBorder="1" applyAlignment="1">
      <alignment horizontal="center" vertical="center" wrapText="1"/>
    </xf>
    <xf numFmtId="0" fontId="1" fillId="4" borderId="59" xfId="1" applyFont="1" applyFill="1" applyBorder="1" applyAlignment="1">
      <alignment horizontal="center" vertical="center" wrapText="1"/>
    </xf>
    <xf numFmtId="0" fontId="2" fillId="2" borderId="69" xfId="1" applyFont="1" applyFill="1" applyBorder="1" applyAlignment="1">
      <alignment horizontal="center" vertical="center" wrapText="1"/>
    </xf>
    <xf numFmtId="0" fontId="1" fillId="4" borderId="30" xfId="1" applyFont="1" applyFill="1" applyBorder="1" applyAlignment="1">
      <alignment horizontal="center" vertical="center" wrapText="1"/>
    </xf>
    <xf numFmtId="0" fontId="2" fillId="2" borderId="63" xfId="1" applyFont="1" applyFill="1" applyBorder="1" applyAlignment="1">
      <alignment horizontal="center" vertical="center" wrapText="1"/>
    </xf>
    <xf numFmtId="0" fontId="1" fillId="4" borderId="31" xfId="1" applyFont="1" applyFill="1" applyBorder="1" applyAlignment="1">
      <alignment horizontal="center" vertical="center" wrapText="1"/>
    </xf>
    <xf numFmtId="0" fontId="2" fillId="2" borderId="60" xfId="1" applyFont="1" applyFill="1" applyBorder="1" applyAlignment="1">
      <alignment horizontal="center" vertical="center" wrapText="1"/>
    </xf>
    <xf numFmtId="0" fontId="1" fillId="4" borderId="61"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1" fillId="4" borderId="33" xfId="1" applyFont="1" applyFill="1" applyBorder="1" applyAlignment="1">
      <alignment horizontal="center" vertical="center" wrapText="1"/>
    </xf>
    <xf numFmtId="0" fontId="2" fillId="2" borderId="59" xfId="1" applyFont="1" applyFill="1" applyBorder="1" applyAlignment="1">
      <alignment horizontal="center" vertical="center" wrapText="1"/>
    </xf>
    <xf numFmtId="0" fontId="1" fillId="4" borderId="5"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1" fillId="4" borderId="34" xfId="1" applyFont="1" applyFill="1" applyBorder="1" applyAlignment="1">
      <alignment horizontal="center" vertical="center" wrapText="1"/>
    </xf>
    <xf numFmtId="0" fontId="2" fillId="2" borderId="5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 fillId="4" borderId="62" xfId="1" applyFont="1" applyFill="1" applyBorder="1" applyAlignment="1">
      <alignment horizontal="center" vertical="center" wrapText="1"/>
    </xf>
    <xf numFmtId="1" fontId="4" fillId="7" borderId="40" xfId="0" applyNumberFormat="1"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7" borderId="40" xfId="1" applyFont="1" applyFill="1" applyBorder="1" applyAlignment="1">
      <alignment horizontal="center" vertical="center" wrapText="1"/>
    </xf>
    <xf numFmtId="4" fontId="4" fillId="7" borderId="40" xfId="0" applyNumberFormat="1" applyFont="1" applyFill="1" applyBorder="1" applyAlignment="1">
      <alignment horizontal="center" vertical="center" wrapText="1"/>
    </xf>
    <xf numFmtId="2" fontId="4" fillId="7" borderId="40" xfId="0" applyNumberFormat="1" applyFont="1" applyFill="1" applyBorder="1" applyAlignment="1">
      <alignment horizontal="center" vertical="center" wrapText="1"/>
    </xf>
    <xf numFmtId="1" fontId="4" fillId="7" borderId="3" xfId="0" applyNumberFormat="1" applyFont="1" applyFill="1" applyBorder="1" applyAlignment="1">
      <alignment horizontal="center" vertical="center" wrapText="1"/>
    </xf>
    <xf numFmtId="0" fontId="4" fillId="7" borderId="31" xfId="0" applyFont="1" applyFill="1" applyBorder="1" applyAlignment="1">
      <alignment horizontal="center" vertical="center" wrapText="1"/>
    </xf>
    <xf numFmtId="0" fontId="4" fillId="7" borderId="3" xfId="1" applyFont="1" applyFill="1" applyBorder="1" applyAlignment="1">
      <alignment horizontal="center" vertical="center" wrapText="1"/>
    </xf>
    <xf numFmtId="4" fontId="4" fillId="7" borderId="3" xfId="0" applyNumberFormat="1" applyFont="1" applyFill="1" applyBorder="1" applyAlignment="1">
      <alignment horizontal="center" vertical="center" wrapText="1"/>
    </xf>
    <xf numFmtId="2" fontId="4" fillId="7" borderId="3" xfId="0" applyNumberFormat="1" applyFont="1" applyFill="1" applyBorder="1" applyAlignment="1">
      <alignment horizontal="center" vertical="center" wrapText="1"/>
    </xf>
    <xf numFmtId="1" fontId="4" fillId="7" borderId="1" xfId="0" applyNumberFormat="1" applyFont="1"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1" xfId="1" applyFont="1" applyFill="1" applyBorder="1" applyAlignment="1">
      <alignment horizontal="center" vertical="center" wrapText="1"/>
    </xf>
    <xf numFmtId="4" fontId="4" fillId="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49" fontId="4" fillId="7" borderId="40" xfId="0" applyNumberFormat="1" applyFont="1" applyFill="1" applyBorder="1" applyAlignment="1">
      <alignment horizontal="center" vertical="center" wrapText="1"/>
    </xf>
    <xf numFmtId="1" fontId="4" fillId="7" borderId="41" xfId="0" applyNumberFormat="1" applyFont="1" applyFill="1" applyBorder="1" applyAlignment="1">
      <alignment horizontal="center" vertical="center" wrapText="1"/>
    </xf>
    <xf numFmtId="49" fontId="4" fillId="7" borderId="3" xfId="0" applyNumberFormat="1" applyFont="1" applyFill="1" applyBorder="1" applyAlignment="1">
      <alignment horizontal="center" vertical="center" wrapText="1"/>
    </xf>
    <xf numFmtId="1" fontId="4" fillId="7" borderId="31" xfId="0" applyNumberFormat="1" applyFont="1" applyFill="1" applyBorder="1" applyAlignment="1">
      <alignment horizontal="center" vertical="center" wrapText="1"/>
    </xf>
    <xf numFmtId="49" fontId="4" fillId="7" borderId="1" xfId="0" applyNumberFormat="1" applyFont="1" applyFill="1" applyBorder="1" applyAlignment="1">
      <alignment horizontal="center" vertical="center" wrapText="1"/>
    </xf>
    <xf numFmtId="1" fontId="4" fillId="7" borderId="46" xfId="0" applyNumberFormat="1" applyFont="1" applyFill="1" applyBorder="1" applyAlignment="1">
      <alignment horizontal="center" vertical="center" wrapText="1"/>
    </xf>
    <xf numFmtId="0" fontId="0" fillId="0" borderId="0" xfId="0" applyFill="1" applyBorder="1"/>
    <xf numFmtId="4" fontId="8" fillId="0" borderId="44" xfId="0" applyNumberFormat="1" applyFont="1" applyFill="1" applyBorder="1"/>
    <xf numFmtId="0" fontId="0" fillId="0" borderId="47" xfId="0" applyFill="1" applyBorder="1"/>
    <xf numFmtId="4" fontId="8" fillId="0" borderId="48" xfId="0" applyNumberFormat="1" applyFont="1" applyFill="1" applyBorder="1"/>
    <xf numFmtId="4" fontId="8" fillId="0" borderId="43" xfId="0" applyNumberFormat="1" applyFont="1" applyFill="1" applyBorder="1"/>
    <xf numFmtId="0" fontId="0" fillId="0" borderId="42" xfId="0" applyFill="1" applyBorder="1"/>
    <xf numFmtId="0" fontId="9" fillId="8" borderId="9" xfId="0" applyFont="1" applyFill="1" applyBorder="1" applyAlignment="1">
      <alignment horizontal="center" vertical="center" wrapText="1"/>
    </xf>
    <xf numFmtId="4" fontId="8" fillId="8" borderId="3" xfId="0" applyNumberFormat="1" applyFont="1" applyFill="1" applyBorder="1" applyAlignment="1">
      <alignment horizontal="center" vertical="center" wrapText="1"/>
    </xf>
    <xf numFmtId="4" fontId="8" fillId="8" borderId="9" xfId="0" applyNumberFormat="1" applyFont="1" applyFill="1" applyBorder="1" applyAlignment="1">
      <alignment horizontal="center" vertical="center" wrapText="1"/>
    </xf>
    <xf numFmtId="0" fontId="4" fillId="7" borderId="40" xfId="0" applyFont="1" applyFill="1" applyBorder="1" applyAlignment="1">
      <alignment horizontal="center" vertical="center" wrapText="1"/>
    </xf>
    <xf numFmtId="0" fontId="4" fillId="7" borderId="54" xfId="0" applyFont="1" applyFill="1" applyBorder="1" applyAlignment="1">
      <alignment horizontal="left" vertical="center" wrapText="1"/>
    </xf>
    <xf numFmtId="0" fontId="4" fillId="7" borderId="3" xfId="0" applyFont="1" applyFill="1" applyBorder="1" applyAlignment="1">
      <alignment horizontal="center" vertical="center" wrapText="1"/>
    </xf>
    <xf numFmtId="0" fontId="4" fillId="7" borderId="55" xfId="0" applyFont="1" applyFill="1" applyBorder="1" applyAlignment="1">
      <alignment horizontal="left" vertical="center" wrapText="1"/>
    </xf>
    <xf numFmtId="0" fontId="4" fillId="7" borderId="2" xfId="0" applyFont="1" applyFill="1" applyBorder="1" applyAlignment="1">
      <alignment horizontal="center" vertical="center" wrapText="1"/>
    </xf>
    <xf numFmtId="1" fontId="4" fillId="7" borderId="2" xfId="0" applyNumberFormat="1" applyFont="1" applyFill="1" applyBorder="1" applyAlignment="1">
      <alignment horizontal="center" vertical="center" wrapText="1"/>
    </xf>
    <xf numFmtId="0" fontId="4" fillId="7" borderId="3" xfId="0" applyFont="1" applyFill="1" applyBorder="1" applyAlignment="1">
      <alignment horizontal="left" vertical="center" wrapText="1"/>
    </xf>
    <xf numFmtId="4" fontId="4" fillId="7" borderId="2" xfId="0" applyNumberFormat="1" applyFont="1" applyFill="1" applyBorder="1" applyAlignment="1">
      <alignment horizontal="center" vertical="center" wrapText="1"/>
    </xf>
    <xf numFmtId="2" fontId="4" fillId="7" borderId="2" xfId="0" applyNumberFormat="1" applyFont="1" applyFill="1" applyBorder="1" applyAlignment="1">
      <alignment horizontal="center" vertical="center" wrapText="1"/>
    </xf>
    <xf numFmtId="0" fontId="4" fillId="7" borderId="40"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4" fontId="0" fillId="0" borderId="47" xfId="0" applyNumberFormat="1" applyFill="1" applyBorder="1"/>
    <xf numFmtId="4" fontId="8" fillId="0" borderId="47" xfId="0" applyNumberFormat="1" applyFont="1" applyFill="1" applyBorder="1"/>
    <xf numFmtId="0" fontId="10" fillId="0" borderId="42" xfId="0" applyFont="1" applyFill="1" applyBorder="1" applyAlignment="1"/>
    <xf numFmtId="4" fontId="8" fillId="0" borderId="42" xfId="0" applyNumberFormat="1" applyFont="1" applyFill="1" applyBorder="1"/>
    <xf numFmtId="0" fontId="10" fillId="0" borderId="0" xfId="0" applyFont="1" applyFill="1" applyBorder="1" applyAlignment="1">
      <alignment wrapText="1"/>
    </xf>
    <xf numFmtId="4" fontId="8" fillId="0" borderId="0" xfId="0" applyNumberFormat="1" applyFont="1" applyFill="1" applyBorder="1"/>
    <xf numFmtId="1" fontId="8" fillId="0" borderId="42" xfId="0" applyNumberFormat="1" applyFont="1" applyFill="1" applyBorder="1"/>
    <xf numFmtId="1" fontId="8" fillId="0" borderId="0" xfId="0" applyNumberFormat="1" applyFont="1" applyFill="1" applyBorder="1"/>
    <xf numFmtId="1" fontId="8" fillId="0" borderId="47" xfId="0" applyNumberFormat="1" applyFont="1" applyFill="1" applyBorder="1"/>
    <xf numFmtId="0" fontId="10" fillId="0" borderId="47" xfId="0" applyFont="1" applyFill="1" applyBorder="1" applyAlignment="1"/>
    <xf numFmtId="0" fontId="2" fillId="2" borderId="72" xfId="1" applyFont="1" applyFill="1" applyBorder="1" applyAlignment="1">
      <alignment horizontal="center" vertical="center" wrapText="1"/>
    </xf>
    <xf numFmtId="0" fontId="1" fillId="4" borderId="73"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74" xfId="1" applyFont="1" applyFill="1" applyBorder="1" applyAlignment="1">
      <alignment horizontal="center" vertical="center" wrapText="1"/>
    </xf>
    <xf numFmtId="0" fontId="3" fillId="2" borderId="75" xfId="1" applyFont="1" applyFill="1" applyBorder="1" applyAlignment="1">
      <alignment horizontal="center" vertical="center" wrapText="1"/>
    </xf>
    <xf numFmtId="1" fontId="4" fillId="7" borderId="76" xfId="0" applyNumberFormat="1" applyFont="1" applyFill="1" applyBorder="1" applyAlignment="1">
      <alignment horizontal="center" vertical="center" wrapText="1"/>
    </xf>
    <xf numFmtId="1" fontId="4" fillId="7" borderId="78" xfId="0" applyNumberFormat="1" applyFont="1" applyFill="1" applyBorder="1" applyAlignment="1">
      <alignment horizontal="center" vertical="center" wrapText="1"/>
    </xf>
    <xf numFmtId="0" fontId="4" fillId="7" borderId="77" xfId="0" applyFont="1" applyFill="1" applyBorder="1" applyAlignment="1">
      <alignment horizontal="center" vertical="center" wrapText="1"/>
    </xf>
    <xf numFmtId="0" fontId="4" fillId="7" borderId="79" xfId="1" applyFont="1" applyFill="1" applyBorder="1" applyAlignment="1">
      <alignment horizontal="center" vertical="center" wrapText="1"/>
    </xf>
    <xf numFmtId="4" fontId="4" fillId="7" borderId="21" xfId="0" applyNumberFormat="1" applyFont="1" applyFill="1" applyBorder="1" applyAlignment="1">
      <alignment horizontal="center" vertical="center" wrapText="1"/>
    </xf>
    <xf numFmtId="4" fontId="4" fillId="7" borderId="80" xfId="0" applyNumberFormat="1" applyFont="1" applyFill="1" applyBorder="1" applyAlignment="1">
      <alignment horizontal="center" vertical="center" wrapText="1"/>
    </xf>
    <xf numFmtId="4" fontId="4" fillId="7" borderId="79" xfId="0" applyNumberFormat="1" applyFont="1" applyFill="1" applyBorder="1" applyAlignment="1">
      <alignment horizontal="center" vertical="center" wrapText="1"/>
    </xf>
    <xf numFmtId="2" fontId="4" fillId="7" borderId="79" xfId="0" applyNumberFormat="1" applyFont="1" applyFill="1" applyBorder="1" applyAlignment="1">
      <alignment horizontal="center" vertical="center" wrapText="1"/>
    </xf>
    <xf numFmtId="0" fontId="10" fillId="0" borderId="81" xfId="0" applyFont="1" applyBorder="1"/>
    <xf numFmtId="0" fontId="0" fillId="0" borderId="82" xfId="0" applyBorder="1"/>
    <xf numFmtId="0" fontId="0" fillId="0" borderId="83" xfId="0" applyBorder="1"/>
    <xf numFmtId="0" fontId="0" fillId="0" borderId="84" xfId="0" applyBorder="1"/>
    <xf numFmtId="4" fontId="8" fillId="0" borderId="85" xfId="0" applyNumberFormat="1" applyFont="1" applyBorder="1"/>
    <xf numFmtId="0" fontId="1" fillId="0" borderId="86" xfId="1" applyBorder="1"/>
    <xf numFmtId="4" fontId="8" fillId="0" borderId="87" xfId="0" applyNumberFormat="1" applyFont="1" applyBorder="1"/>
    <xf numFmtId="0" fontId="3" fillId="2" borderId="88" xfId="1" applyFont="1" applyFill="1" applyBorder="1" applyAlignment="1">
      <alignment horizontal="center" vertical="center" wrapText="1"/>
    </xf>
    <xf numFmtId="0" fontId="1" fillId="0" borderId="82" xfId="1" applyBorder="1"/>
    <xf numFmtId="4" fontId="8" fillId="6" borderId="3" xfId="0" applyNumberFormat="1" applyFont="1" applyFill="1" applyBorder="1" applyAlignment="1">
      <alignment horizontal="center" vertical="center" wrapText="1"/>
    </xf>
    <xf numFmtId="4" fontId="8" fillId="6" borderId="9" xfId="0" applyNumberFormat="1" applyFont="1" applyFill="1" applyBorder="1" applyAlignment="1">
      <alignment horizontal="center" vertical="center" wrapText="1"/>
    </xf>
    <xf numFmtId="165" fontId="8" fillId="0" borderId="42" xfId="0" applyNumberFormat="1" applyFont="1" applyFill="1" applyBorder="1" applyAlignment="1">
      <alignment wrapText="1"/>
    </xf>
    <xf numFmtId="0" fontId="0" fillId="0" borderId="43" xfId="0" applyFill="1" applyBorder="1"/>
    <xf numFmtId="165" fontId="8" fillId="0" borderId="0" xfId="0" applyNumberFormat="1" applyFont="1" applyFill="1" applyBorder="1" applyAlignment="1">
      <alignment wrapText="1"/>
    </xf>
    <xf numFmtId="0" fontId="0" fillId="0" borderId="44" xfId="0" applyFill="1" applyBorder="1"/>
    <xf numFmtId="0" fontId="16" fillId="7" borderId="3" xfId="1" applyFont="1" applyFill="1" applyBorder="1" applyAlignment="1">
      <alignment horizontal="center" vertical="center" wrapText="1"/>
    </xf>
    <xf numFmtId="16" fontId="16" fillId="7" borderId="3" xfId="1" applyNumberFormat="1" applyFont="1" applyFill="1" applyBorder="1" applyAlignment="1">
      <alignment horizontal="center" vertical="center" wrapText="1"/>
    </xf>
    <xf numFmtId="0" fontId="8" fillId="7" borderId="3" xfId="1" applyFont="1" applyFill="1" applyBorder="1" applyAlignment="1">
      <alignment horizontal="center" vertical="center" wrapText="1"/>
    </xf>
    <xf numFmtId="14" fontId="16" fillId="7" borderId="3" xfId="1" applyNumberFormat="1" applyFont="1" applyFill="1" applyBorder="1" applyAlignment="1">
      <alignment horizontal="center" vertical="center" wrapText="1"/>
    </xf>
    <xf numFmtId="0" fontId="20" fillId="7" borderId="65" xfId="1" applyFont="1" applyFill="1" applyBorder="1" applyAlignment="1">
      <alignment horizontal="center" vertical="center" wrapText="1"/>
    </xf>
    <xf numFmtId="0" fontId="18" fillId="7" borderId="3" xfId="1" applyFont="1" applyFill="1" applyBorder="1" applyAlignment="1">
      <alignment horizontal="center" vertical="center" wrapText="1"/>
    </xf>
    <xf numFmtId="0" fontId="20" fillId="7" borderId="3" xfId="1" applyFont="1" applyFill="1" applyBorder="1" applyAlignment="1">
      <alignment horizontal="center" vertical="center" wrapText="1"/>
    </xf>
    <xf numFmtId="14" fontId="18" fillId="7" borderId="3" xfId="1" applyNumberFormat="1" applyFont="1" applyFill="1" applyBorder="1" applyAlignment="1">
      <alignment horizontal="center" vertical="center" wrapText="1"/>
    </xf>
    <xf numFmtId="0" fontId="16" fillId="7" borderId="3" xfId="1" applyFont="1" applyFill="1" applyBorder="1" applyAlignment="1">
      <alignment horizontal="left" vertical="center" wrapText="1"/>
    </xf>
    <xf numFmtId="0" fontId="0" fillId="7" borderId="16" xfId="1" applyFont="1" applyFill="1" applyBorder="1" applyAlignment="1">
      <alignment horizontal="left" vertical="center" wrapText="1"/>
    </xf>
    <xf numFmtId="0" fontId="18" fillId="7" borderId="3" xfId="1" applyFont="1" applyFill="1" applyBorder="1" applyAlignment="1">
      <alignment horizontal="left" vertical="center" wrapText="1"/>
    </xf>
    <xf numFmtId="0" fontId="18" fillId="7" borderId="16" xfId="1" applyFont="1" applyFill="1" applyBorder="1" applyAlignment="1">
      <alignment horizontal="center" vertical="center" wrapText="1"/>
    </xf>
    <xf numFmtId="0" fontId="20" fillId="7" borderId="16" xfId="1" applyFont="1" applyFill="1" applyBorder="1" applyAlignment="1">
      <alignment horizontal="center" vertical="center" wrapText="1"/>
    </xf>
    <xf numFmtId="14" fontId="18" fillId="7" borderId="16" xfId="1" applyNumberFormat="1" applyFont="1" applyFill="1" applyBorder="1" applyAlignment="1">
      <alignment horizontal="center" vertical="center" wrapText="1"/>
    </xf>
    <xf numFmtId="0" fontId="16" fillId="7" borderId="16" xfId="1" applyFont="1" applyFill="1" applyBorder="1" applyAlignment="1">
      <alignment horizontal="center" vertical="center" wrapText="1"/>
    </xf>
    <xf numFmtId="14" fontId="16" fillId="7" borderId="16" xfId="1" applyNumberFormat="1" applyFont="1" applyFill="1" applyBorder="1" applyAlignment="1">
      <alignment horizontal="center" vertical="center" wrapText="1"/>
    </xf>
    <xf numFmtId="0" fontId="0" fillId="7" borderId="16" xfId="1" applyFont="1" applyFill="1" applyBorder="1" applyAlignment="1">
      <alignment vertical="top" wrapText="1"/>
    </xf>
    <xf numFmtId="0" fontId="0" fillId="7" borderId="16" xfId="1" applyFont="1" applyFill="1" applyBorder="1" applyAlignment="1">
      <alignment horizontal="left" vertical="top" wrapText="1"/>
    </xf>
    <xf numFmtId="0" fontId="1" fillId="6" borderId="33" xfId="1" applyFont="1" applyFill="1" applyBorder="1" applyAlignment="1">
      <alignment horizontal="center" vertical="center" wrapText="1"/>
    </xf>
    <xf numFmtId="0" fontId="2" fillId="8" borderId="74" xfId="1" applyFont="1" applyFill="1" applyBorder="1" applyAlignment="1">
      <alignment horizontal="center" vertical="center" wrapText="1"/>
    </xf>
    <xf numFmtId="0" fontId="10" fillId="0" borderId="47" xfId="0" applyFont="1" applyFill="1" applyBorder="1" applyAlignment="1">
      <alignment wrapText="1"/>
    </xf>
    <xf numFmtId="165" fontId="8" fillId="0" borderId="47" xfId="0" applyNumberFormat="1" applyFont="1" applyFill="1" applyBorder="1" applyAlignment="1">
      <alignment wrapText="1"/>
    </xf>
    <xf numFmtId="0" fontId="0" fillId="0" borderId="48" xfId="0" applyFill="1" applyBorder="1"/>
    <xf numFmtId="0" fontId="16" fillId="0" borderId="86" xfId="1" applyFont="1" applyBorder="1"/>
    <xf numFmtId="0" fontId="1" fillId="6" borderId="61" xfId="1" applyFont="1" applyFill="1" applyBorder="1" applyAlignment="1">
      <alignment horizontal="center" vertical="center" wrapText="1"/>
    </xf>
    <xf numFmtId="0" fontId="2" fillId="8" borderId="60" xfId="1" applyFont="1" applyFill="1" applyBorder="1" applyAlignment="1">
      <alignment horizontal="center" vertical="center" wrapText="1"/>
    </xf>
    <xf numFmtId="0" fontId="22" fillId="7" borderId="68" xfId="0" applyFont="1" applyFill="1" applyBorder="1" applyAlignment="1">
      <alignment horizontal="left" vertical="top" wrapText="1"/>
    </xf>
    <xf numFmtId="0" fontId="18" fillId="7" borderId="65" xfId="1" applyFont="1" applyFill="1" applyBorder="1" applyAlignment="1">
      <alignment horizontal="center" vertical="center" wrapText="1"/>
    </xf>
    <xf numFmtId="49" fontId="18" fillId="7" borderId="65" xfId="1" applyNumberFormat="1" applyFont="1" applyFill="1" applyBorder="1" applyAlignment="1">
      <alignment horizontal="center" vertical="center" wrapText="1"/>
    </xf>
    <xf numFmtId="16" fontId="18" fillId="7" borderId="65" xfId="1" applyNumberFormat="1" applyFont="1" applyFill="1" applyBorder="1" applyAlignment="1">
      <alignment horizontal="center" vertical="center" wrapText="1"/>
    </xf>
    <xf numFmtId="14" fontId="18" fillId="7" borderId="65" xfId="1" applyNumberFormat="1" applyFont="1" applyFill="1" applyBorder="1" applyAlignment="1">
      <alignment horizontal="center" vertical="center" wrapText="1"/>
    </xf>
    <xf numFmtId="0" fontId="22" fillId="7" borderId="66" xfId="0" applyFont="1" applyFill="1" applyBorder="1" applyAlignment="1">
      <alignment horizontal="left" vertical="top" wrapText="1"/>
    </xf>
    <xf numFmtId="49" fontId="18" fillId="7" borderId="3" xfId="1" applyNumberFormat="1" applyFont="1" applyFill="1" applyBorder="1" applyAlignment="1">
      <alignment horizontal="center" vertical="center" wrapText="1"/>
    </xf>
    <xf numFmtId="16" fontId="18" fillId="7" borderId="3" xfId="1" applyNumberFormat="1" applyFont="1" applyFill="1" applyBorder="1" applyAlignment="1">
      <alignment horizontal="center" vertical="center" wrapText="1"/>
    </xf>
    <xf numFmtId="0" fontId="22" fillId="7" borderId="68" xfId="0" applyFont="1" applyFill="1" applyBorder="1" applyAlignment="1">
      <alignment horizontal="left" vertical="center" wrapText="1"/>
    </xf>
    <xf numFmtId="0" fontId="18" fillId="7" borderId="70" xfId="1" applyFont="1" applyFill="1" applyBorder="1" applyAlignment="1">
      <alignment horizontal="center" vertical="center" wrapText="1"/>
    </xf>
    <xf numFmtId="49" fontId="18" fillId="7" borderId="70" xfId="1" applyNumberFormat="1" applyFont="1" applyFill="1" applyBorder="1" applyAlignment="1">
      <alignment horizontal="center" vertical="center" wrapText="1"/>
    </xf>
    <xf numFmtId="16" fontId="18" fillId="7" borderId="70" xfId="1" applyNumberFormat="1" applyFont="1" applyFill="1" applyBorder="1" applyAlignment="1">
      <alignment horizontal="center" vertical="center" wrapText="1"/>
    </xf>
    <xf numFmtId="0" fontId="20" fillId="7" borderId="70" xfId="1" applyFont="1" applyFill="1" applyBorder="1" applyAlignment="1">
      <alignment horizontal="center" vertical="center" wrapText="1"/>
    </xf>
    <xf numFmtId="14" fontId="18" fillId="7" borderId="70" xfId="1" applyNumberFormat="1" applyFont="1" applyFill="1" applyBorder="1" applyAlignment="1">
      <alignment horizontal="center" vertical="center" wrapText="1"/>
    </xf>
    <xf numFmtId="0" fontId="23" fillId="7" borderId="71" xfId="1" applyFont="1" applyFill="1" applyBorder="1" applyAlignment="1">
      <alignment horizontal="left" vertical="center" wrapText="1"/>
    </xf>
    <xf numFmtId="0" fontId="22" fillId="7" borderId="71" xfId="0" applyFont="1" applyFill="1" applyBorder="1" applyAlignment="1">
      <alignment horizontal="left" vertical="center" wrapText="1"/>
    </xf>
    <xf numFmtId="0" fontId="22" fillId="7" borderId="71" xfId="0" applyFont="1" applyFill="1" applyBorder="1" applyAlignment="1">
      <alignment horizontal="left" vertical="top" wrapText="1"/>
    </xf>
    <xf numFmtId="0" fontId="24" fillId="7" borderId="3" xfId="0" applyFont="1" applyFill="1" applyBorder="1" applyAlignment="1">
      <alignment horizontal="center" vertical="center" wrapText="1"/>
    </xf>
    <xf numFmtId="0" fontId="25" fillId="7" borderId="3" xfId="0" applyFont="1" applyFill="1" applyBorder="1" applyAlignment="1">
      <alignment vertical="center" wrapText="1"/>
    </xf>
    <xf numFmtId="14" fontId="24" fillId="7" borderId="3" xfId="0" applyNumberFormat="1" applyFont="1" applyFill="1" applyBorder="1" applyAlignment="1">
      <alignment horizontal="center" vertical="center" wrapText="1"/>
    </xf>
    <xf numFmtId="166" fontId="18" fillId="7" borderId="3" xfId="1" applyNumberFormat="1" applyFont="1" applyFill="1" applyBorder="1" applyAlignment="1">
      <alignment horizontal="center" vertical="center" wrapText="1"/>
    </xf>
    <xf numFmtId="0" fontId="18" fillId="7" borderId="34" xfId="1" applyFont="1" applyFill="1" applyBorder="1" applyAlignment="1">
      <alignment horizontal="center" vertical="center" wrapText="1"/>
    </xf>
    <xf numFmtId="0" fontId="18" fillId="7" borderId="21" xfId="1" applyFont="1" applyFill="1" applyBorder="1" applyAlignment="1">
      <alignment horizontal="center" vertical="center" wrapText="1"/>
    </xf>
    <xf numFmtId="14" fontId="18" fillId="7" borderId="34" xfId="1" applyNumberFormat="1" applyFont="1" applyFill="1" applyBorder="1" applyAlignment="1">
      <alignment horizontal="center" vertical="center" wrapText="1"/>
    </xf>
    <xf numFmtId="0" fontId="18" fillId="7" borderId="5" xfId="1" applyFont="1" applyFill="1" applyBorder="1" applyAlignment="1">
      <alignment horizontal="center" vertical="center" wrapText="1"/>
    </xf>
    <xf numFmtId="0" fontId="22" fillId="7" borderId="90" xfId="0" applyFont="1" applyFill="1" applyBorder="1" applyAlignment="1">
      <alignment horizontal="left" vertical="center" wrapText="1"/>
    </xf>
    <xf numFmtId="0" fontId="18" fillId="7" borderId="89" xfId="1" applyFont="1" applyFill="1" applyBorder="1" applyAlignment="1">
      <alignment horizontal="center" vertical="center" wrapText="1"/>
    </xf>
    <xf numFmtId="0" fontId="18" fillId="7" borderId="95" xfId="1" applyFont="1" applyFill="1" applyBorder="1" applyAlignment="1">
      <alignment horizontal="center" vertical="center" wrapText="1"/>
    </xf>
    <xf numFmtId="0" fontId="18" fillId="7" borderId="63" xfId="1" applyFont="1" applyFill="1" applyBorder="1" applyAlignment="1">
      <alignment horizontal="center" vertical="center" wrapText="1"/>
    </xf>
    <xf numFmtId="14" fontId="18" fillId="7" borderId="96" xfId="1" applyNumberFormat="1" applyFont="1" applyFill="1" applyBorder="1" applyAlignment="1">
      <alignment horizontal="center" vertical="center" wrapText="1"/>
    </xf>
    <xf numFmtId="14" fontId="18" fillId="7" borderId="97" xfId="1" applyNumberFormat="1" applyFont="1" applyFill="1" applyBorder="1" applyAlignment="1">
      <alignment horizontal="center" vertical="center" wrapText="1"/>
    </xf>
    <xf numFmtId="0" fontId="22" fillId="7" borderId="98" xfId="0" applyFont="1" applyFill="1" applyBorder="1" applyAlignment="1">
      <alignment horizontal="left" vertical="center" wrapText="1"/>
    </xf>
    <xf numFmtId="0" fontId="18" fillId="7" borderId="91" xfId="1" applyFont="1" applyFill="1" applyBorder="1" applyAlignment="1">
      <alignment horizontal="center" vertical="center" wrapText="1"/>
    </xf>
    <xf numFmtId="0" fontId="18" fillId="7" borderId="92" xfId="1" applyFont="1" applyFill="1" applyBorder="1" applyAlignment="1">
      <alignment horizontal="center" vertical="center" wrapText="1"/>
    </xf>
    <xf numFmtId="14" fontId="18" fillId="7" borderId="92" xfId="1" applyNumberFormat="1" applyFont="1" applyFill="1" applyBorder="1" applyAlignment="1">
      <alignment horizontal="center" vertical="center" wrapText="1"/>
    </xf>
    <xf numFmtId="14" fontId="18" fillId="7" borderId="93" xfId="1" applyNumberFormat="1" applyFont="1" applyFill="1" applyBorder="1" applyAlignment="1">
      <alignment horizontal="center" vertical="center" wrapText="1"/>
    </xf>
    <xf numFmtId="0" fontId="22" fillId="7" borderId="94" xfId="0" applyFont="1" applyFill="1" applyBorder="1" applyAlignment="1">
      <alignment horizontal="left" vertical="top" wrapText="1"/>
    </xf>
    <xf numFmtId="3" fontId="18" fillId="7" borderId="3" xfId="1" applyNumberFormat="1" applyFont="1" applyFill="1" applyBorder="1" applyAlignment="1">
      <alignment horizontal="center" vertical="center" wrapText="1"/>
    </xf>
    <xf numFmtId="0" fontId="22" fillId="7" borderId="16" xfId="0" applyFont="1" applyFill="1" applyBorder="1" applyAlignment="1">
      <alignment horizontal="left" vertical="top" wrapText="1"/>
    </xf>
    <xf numFmtId="0" fontId="22" fillId="7" borderId="16" xfId="0" applyFont="1" applyFill="1" applyBorder="1" applyAlignment="1">
      <alignment horizontal="left" vertical="center" wrapText="1"/>
    </xf>
    <xf numFmtId="0" fontId="1" fillId="6" borderId="5" xfId="1" applyFont="1" applyFill="1" applyBorder="1" applyAlignment="1">
      <alignment horizontal="center" vertical="center" wrapText="1"/>
    </xf>
    <xf numFmtId="0" fontId="1" fillId="6" borderId="34" xfId="1" applyFont="1" applyFill="1" applyBorder="1" applyAlignment="1">
      <alignment horizontal="center" vertical="center" wrapText="1"/>
    </xf>
    <xf numFmtId="0" fontId="1" fillId="6" borderId="7" xfId="1" applyFont="1" applyFill="1" applyBorder="1" applyAlignment="1">
      <alignment horizontal="center" vertical="center" wrapText="1"/>
    </xf>
    <xf numFmtId="0" fontId="2" fillId="8" borderId="59" xfId="1" applyFont="1" applyFill="1" applyBorder="1" applyAlignment="1">
      <alignment horizontal="center" vertical="center" wrapText="1"/>
    </xf>
    <xf numFmtId="0" fontId="2" fillId="8" borderId="30" xfId="1" applyFont="1" applyFill="1" applyBorder="1" applyAlignment="1">
      <alignment horizontal="center" vertical="center" wrapText="1"/>
    </xf>
    <xf numFmtId="0" fontId="2" fillId="8" borderId="4" xfId="1" applyFont="1" applyFill="1" applyBorder="1" applyAlignment="1">
      <alignment horizontal="center" vertical="center" wrapText="1"/>
    </xf>
    <xf numFmtId="0" fontId="2" fillId="8" borderId="58" xfId="1" applyFont="1" applyFill="1" applyBorder="1" applyAlignment="1">
      <alignment horizontal="center" vertical="center" wrapText="1"/>
    </xf>
    <xf numFmtId="0" fontId="16" fillId="7" borderId="3" xfId="1" applyNumberFormat="1" applyFont="1" applyFill="1" applyBorder="1" applyAlignment="1">
      <alignment horizontal="center" vertical="center" wrapText="1"/>
    </xf>
    <xf numFmtId="0" fontId="16" fillId="9" borderId="3" xfId="1" applyFont="1" applyFill="1" applyBorder="1" applyAlignment="1">
      <alignment horizontal="center" vertical="center" wrapText="1"/>
    </xf>
    <xf numFmtId="0" fontId="8" fillId="9" borderId="3" xfId="1" applyFont="1" applyFill="1" applyBorder="1" applyAlignment="1">
      <alignment horizontal="center" vertical="center" wrapText="1"/>
    </xf>
    <xf numFmtId="14" fontId="16" fillId="9" borderId="3" xfId="1" applyNumberFormat="1" applyFont="1" applyFill="1" applyBorder="1" applyAlignment="1">
      <alignment horizontal="center" vertical="center" wrapText="1"/>
    </xf>
    <xf numFmtId="0" fontId="0" fillId="9" borderId="16" xfId="1" applyFont="1" applyFill="1" applyBorder="1" applyAlignment="1">
      <alignment horizontal="left" vertical="top" wrapText="1"/>
    </xf>
    <xf numFmtId="0" fontId="10" fillId="0" borderId="38" xfId="0" applyFont="1" applyBorder="1" applyAlignment="1">
      <alignment horizontal="left" wrapText="1"/>
    </xf>
    <xf numFmtId="0" fontId="10" fillId="0" borderId="0" xfId="0" applyFont="1" applyBorder="1" applyAlignment="1">
      <alignment horizontal="left" wrapText="1"/>
    </xf>
    <xf numFmtId="0" fontId="3" fillId="2" borderId="49" xfId="1" applyFont="1" applyFill="1" applyBorder="1" applyAlignment="1">
      <alignment horizontal="center" vertical="center" wrapText="1"/>
    </xf>
    <xf numFmtId="0" fontId="3" fillId="2" borderId="47" xfId="1" applyFont="1" applyFill="1" applyBorder="1" applyAlignment="1">
      <alignment horizontal="center" vertical="center" wrapText="1"/>
    </xf>
    <xf numFmtId="0" fontId="3" fillId="2" borderId="39" xfId="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4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2" fillId="0" borderId="17" xfId="1" applyFont="1" applyBorder="1" applyAlignment="1">
      <alignment horizontal="center"/>
    </xf>
    <xf numFmtId="0" fontId="2" fillId="0" borderId="0" xfId="1" applyFont="1" applyBorder="1" applyAlignment="1">
      <alignment horizontal="center"/>
    </xf>
    <xf numFmtId="0" fontId="5" fillId="5" borderId="13"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3" fillId="4" borderId="5"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2" fillId="0" borderId="17" xfId="1" applyFont="1" applyBorder="1" applyAlignment="1">
      <alignment horizontal="left"/>
    </xf>
    <xf numFmtId="0" fontId="2" fillId="0" borderId="0" xfId="1" applyFont="1" applyBorder="1" applyAlignment="1">
      <alignment horizontal="left"/>
    </xf>
    <xf numFmtId="0" fontId="10" fillId="0" borderId="38" xfId="0" applyFont="1" applyFill="1" applyBorder="1" applyAlignment="1">
      <alignment horizontal="left" wrapText="1"/>
    </xf>
    <xf numFmtId="0" fontId="10" fillId="0" borderId="0" xfId="0" applyFont="1" applyFill="1" applyBorder="1" applyAlignment="1">
      <alignment horizontal="left" wrapText="1"/>
    </xf>
    <xf numFmtId="0" fontId="10" fillId="0" borderId="50" xfId="0" applyFont="1" applyFill="1" applyBorder="1" applyAlignment="1">
      <alignment horizontal="left"/>
    </xf>
    <xf numFmtId="0" fontId="10" fillId="0" borderId="42" xfId="0" applyFont="1" applyFill="1" applyBorder="1" applyAlignment="1">
      <alignment horizontal="left"/>
    </xf>
    <xf numFmtId="0" fontId="10" fillId="0" borderId="51" xfId="0" applyFont="1" applyFill="1" applyBorder="1" applyAlignment="1">
      <alignment horizontal="left" wrapText="1"/>
    </xf>
    <xf numFmtId="0" fontId="10" fillId="0" borderId="47" xfId="0" applyFont="1" applyFill="1" applyBorder="1" applyAlignment="1">
      <alignment horizontal="left" wrapText="1"/>
    </xf>
    <xf numFmtId="0" fontId="10" fillId="0" borderId="50" xfId="0" applyFont="1" applyBorder="1" applyAlignment="1">
      <alignment horizontal="left"/>
    </xf>
    <xf numFmtId="0" fontId="10" fillId="0" borderId="42" xfId="0" applyFont="1" applyBorder="1" applyAlignment="1">
      <alignment horizontal="left"/>
    </xf>
    <xf numFmtId="0" fontId="10" fillId="0" borderId="51" xfId="0" applyFont="1" applyFill="1" applyBorder="1" applyAlignment="1">
      <alignment horizontal="left"/>
    </xf>
    <xf numFmtId="0" fontId="10" fillId="0" borderId="47" xfId="0" applyFont="1" applyFill="1" applyBorder="1" applyAlignment="1">
      <alignment horizontal="left"/>
    </xf>
    <xf numFmtId="0" fontId="10" fillId="0" borderId="51" xfId="0" applyFont="1" applyBorder="1" applyAlignment="1">
      <alignment horizontal="left"/>
    </xf>
    <xf numFmtId="0" fontId="10" fillId="0" borderId="47" xfId="0" applyFont="1" applyBorder="1" applyAlignment="1">
      <alignment horizontal="left"/>
    </xf>
    <xf numFmtId="0" fontId="10" fillId="0" borderId="50" xfId="0" applyFont="1" applyFill="1" applyBorder="1" applyAlignment="1">
      <alignment horizontal="left" wrapText="1"/>
    </xf>
    <xf numFmtId="0" fontId="10" fillId="0" borderId="42" xfId="0" applyFont="1" applyFill="1" applyBorder="1" applyAlignment="1">
      <alignment horizontal="left" wrapText="1"/>
    </xf>
    <xf numFmtId="0" fontId="2" fillId="0" borderId="0" xfId="1" applyFont="1" applyAlignment="1">
      <alignment horizontal="center" wrapText="1"/>
    </xf>
    <xf numFmtId="0" fontId="2" fillId="0" borderId="0" xfId="1" applyFont="1" applyAlignment="1">
      <alignment horizontal="center"/>
    </xf>
    <xf numFmtId="0" fontId="2" fillId="0" borderId="15" xfId="1" applyFont="1" applyBorder="1" applyAlignment="1">
      <alignment horizontal="center"/>
    </xf>
    <xf numFmtId="0" fontId="2" fillId="0" borderId="14" xfId="1" applyFont="1" applyBorder="1" applyAlignment="1">
      <alignment horizontal="center"/>
    </xf>
    <xf numFmtId="0" fontId="7" fillId="5" borderId="20"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2" fillId="0" borderId="0" xfId="0" applyFont="1" applyBorder="1" applyAlignment="1">
      <alignment horizontal="center"/>
    </xf>
    <xf numFmtId="0" fontId="3" fillId="2" borderId="49"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5" xfId="0" applyFont="1" applyBorder="1" applyAlignment="1">
      <alignment horizontal="center"/>
    </xf>
    <xf numFmtId="0" fontId="2" fillId="0" borderId="14" xfId="0" applyFont="1" applyBorder="1" applyAlignment="1">
      <alignment horizont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13" fillId="0" borderId="15" xfId="0" applyFont="1" applyBorder="1" applyAlignment="1">
      <alignment horizontal="center"/>
    </xf>
    <xf numFmtId="0" fontId="13" fillId="0" borderId="14" xfId="0" applyFont="1" applyBorder="1" applyAlignment="1">
      <alignment horizontal="center"/>
    </xf>
    <xf numFmtId="0" fontId="2" fillId="0" borderId="16" xfId="0" applyFont="1" applyBorder="1" applyAlignment="1">
      <alignment horizontal="center"/>
    </xf>
    <xf numFmtId="0" fontId="2" fillId="0" borderId="28" xfId="0" applyFont="1" applyBorder="1" applyAlignment="1">
      <alignment horizontal="center"/>
    </xf>
    <xf numFmtId="0" fontId="15" fillId="4" borderId="5"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9" fillId="7" borderId="13" xfId="1" applyFont="1" applyFill="1" applyBorder="1" applyAlignment="1">
      <alignment horizontal="center" vertical="center" wrapText="1"/>
    </xf>
    <xf numFmtId="0" fontId="19" fillId="7" borderId="12" xfId="1" applyFont="1" applyFill="1" applyBorder="1" applyAlignment="1">
      <alignment horizontal="center" vertical="center" wrapText="1"/>
    </xf>
    <xf numFmtId="0" fontId="19" fillId="7" borderId="11" xfId="1" applyFont="1" applyFill="1" applyBorder="1" applyAlignment="1">
      <alignment horizontal="center" vertical="center" wrapText="1"/>
    </xf>
    <xf numFmtId="0" fontId="14" fillId="0" borderId="15" xfId="1" applyFont="1" applyBorder="1" applyAlignment="1">
      <alignment horizontal="center"/>
    </xf>
    <xf numFmtId="0" fontId="14" fillId="0" borderId="14" xfId="1" applyFont="1" applyBorder="1" applyAlignment="1">
      <alignment horizontal="center"/>
    </xf>
    <xf numFmtId="0" fontId="17" fillId="5" borderId="6" xfId="1" applyFont="1" applyFill="1" applyBorder="1" applyAlignment="1">
      <alignment horizontal="center" vertical="center" wrapText="1"/>
    </xf>
    <xf numFmtId="0" fontId="17" fillId="5" borderId="4" xfId="1" applyFont="1" applyFill="1" applyBorder="1" applyAlignment="1">
      <alignment horizontal="center" vertical="center" wrapText="1"/>
    </xf>
    <xf numFmtId="0" fontId="17" fillId="5" borderId="5" xfId="1" applyFont="1" applyFill="1" applyBorder="1" applyAlignment="1">
      <alignment horizontal="center" vertical="center" wrapText="1"/>
    </xf>
    <xf numFmtId="0" fontId="17" fillId="5" borderId="7" xfId="1" applyFont="1" applyFill="1" applyBorder="1" applyAlignment="1">
      <alignment horizontal="center" vertical="center" wrapText="1"/>
    </xf>
    <xf numFmtId="0" fontId="17" fillId="5" borderId="13" xfId="1" applyFont="1" applyFill="1" applyBorder="1" applyAlignment="1">
      <alignment horizontal="center" vertical="center" wrapText="1"/>
    </xf>
    <xf numFmtId="0" fontId="17" fillId="5" borderId="12" xfId="1" applyFont="1" applyFill="1" applyBorder="1" applyAlignment="1">
      <alignment horizontal="center" vertical="center" wrapText="1"/>
    </xf>
    <xf numFmtId="0" fontId="17" fillId="5" borderId="11" xfId="1" applyFont="1" applyFill="1" applyBorder="1" applyAlignment="1">
      <alignment horizontal="center" vertical="center" wrapText="1"/>
    </xf>
    <xf numFmtId="0" fontId="17" fillId="5" borderId="10" xfId="1" applyFont="1" applyFill="1" applyBorder="1" applyAlignment="1">
      <alignment horizontal="center" vertical="center" wrapText="1"/>
    </xf>
    <xf numFmtId="0" fontId="17" fillId="5" borderId="29" xfId="1" applyFont="1" applyFill="1" applyBorder="1" applyAlignment="1">
      <alignment horizontal="center" vertical="center" wrapText="1"/>
    </xf>
    <xf numFmtId="0" fontId="17" fillId="5" borderId="9" xfId="1" applyFont="1" applyFill="1" applyBorder="1" applyAlignment="1">
      <alignment horizontal="center" vertical="center" wrapText="1"/>
    </xf>
    <xf numFmtId="0" fontId="17" fillId="5" borderId="56" xfId="1" applyFont="1" applyFill="1" applyBorder="1" applyAlignment="1">
      <alignment horizontal="center" vertical="center" wrapText="1"/>
    </xf>
    <xf numFmtId="0" fontId="17" fillId="5" borderId="57"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2" fillId="0" borderId="16" xfId="0" applyFont="1" applyBorder="1" applyAlignment="1">
      <alignment horizontal="center" wrapText="1"/>
    </xf>
  </cellXfs>
  <cellStyles count="3">
    <cellStyle name="Excel Built-in Normal" xfId="2"/>
    <cellStyle name="Normální" xfId="0" builtinId="0"/>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5" zoomScale="90" zoomScaleNormal="90" zoomScaleSheetLayoutView="100" workbookViewId="0">
      <selection activeCell="D39" sqref="D39"/>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6384" width="9.140625" style="1"/>
  </cols>
  <sheetData>
    <row r="1" spans="1:13" ht="15.75" thickBot="1" x14ac:dyDescent="0.3">
      <c r="A1" s="272" t="s">
        <v>264</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0</v>
      </c>
      <c r="F6" s="105">
        <f t="shared" ref="F6:F11" si="0">0.85*M6</f>
        <v>0</v>
      </c>
      <c r="G6" s="105">
        <f t="shared" ref="G6:G11" si="1">0.15*M6</f>
        <v>0</v>
      </c>
      <c r="H6" s="105">
        <f>((F6+G6)/95)*5</f>
        <v>0</v>
      </c>
      <c r="I6" s="105">
        <v>0</v>
      </c>
      <c r="J6" s="106">
        <v>0</v>
      </c>
      <c r="K6" s="42"/>
      <c r="L6" s="42"/>
      <c r="M6" s="43">
        <v>0</v>
      </c>
    </row>
    <row r="7" spans="1:13" ht="45.75" customHeight="1" thickBot="1" x14ac:dyDescent="0.3">
      <c r="A7" s="266"/>
      <c r="B7" s="107">
        <v>4</v>
      </c>
      <c r="C7" s="108" t="s">
        <v>200</v>
      </c>
      <c r="D7" s="109" t="s">
        <v>201</v>
      </c>
      <c r="E7" s="110">
        <f>F7+G7+H7+I7</f>
        <v>0</v>
      </c>
      <c r="F7" s="110">
        <f t="shared" si="0"/>
        <v>0</v>
      </c>
      <c r="G7" s="110">
        <f t="shared" si="1"/>
        <v>0</v>
      </c>
      <c r="H7" s="110">
        <f>((F7+G7)/95)*5</f>
        <v>0</v>
      </c>
      <c r="I7" s="110">
        <v>0</v>
      </c>
      <c r="J7" s="111">
        <v>0</v>
      </c>
      <c r="K7" s="44"/>
      <c r="L7" s="44"/>
      <c r="M7" s="45">
        <v>0</v>
      </c>
    </row>
    <row r="8" spans="1:13" ht="72.75" customHeight="1" thickBot="1" x14ac:dyDescent="0.3">
      <c r="A8" s="266"/>
      <c r="B8" s="107">
        <v>4</v>
      </c>
      <c r="C8" s="108" t="s">
        <v>200</v>
      </c>
      <c r="D8" s="109" t="s">
        <v>201</v>
      </c>
      <c r="E8" s="110">
        <f t="shared" ref="E8:E20" si="2">F8+G8+H8+I8</f>
        <v>0</v>
      </c>
      <c r="F8" s="110">
        <f t="shared" si="0"/>
        <v>0</v>
      </c>
      <c r="G8" s="110">
        <f t="shared" si="1"/>
        <v>0</v>
      </c>
      <c r="H8" s="110">
        <f>((F8+G8)/95)*5</f>
        <v>0</v>
      </c>
      <c r="I8" s="110">
        <v>0</v>
      </c>
      <c r="J8" s="111">
        <v>0</v>
      </c>
      <c r="K8" s="44"/>
      <c r="L8" s="44"/>
      <c r="M8" s="45">
        <v>0</v>
      </c>
    </row>
    <row r="9" spans="1:13" ht="54.75" customHeight="1" thickBot="1" x14ac:dyDescent="0.3">
      <c r="A9" s="266"/>
      <c r="B9" s="107">
        <v>4</v>
      </c>
      <c r="C9" s="108" t="s">
        <v>200</v>
      </c>
      <c r="D9" s="109" t="s">
        <v>201</v>
      </c>
      <c r="E9" s="110">
        <f t="shared" si="2"/>
        <v>0</v>
      </c>
      <c r="F9" s="110">
        <f t="shared" si="0"/>
        <v>0</v>
      </c>
      <c r="G9" s="110">
        <f t="shared" si="1"/>
        <v>0</v>
      </c>
      <c r="H9" s="110">
        <v>0</v>
      </c>
      <c r="I9" s="110">
        <f>((F9+G9)/95)*5</f>
        <v>0</v>
      </c>
      <c r="J9" s="111">
        <v>0</v>
      </c>
      <c r="K9" s="44"/>
      <c r="L9" s="44"/>
      <c r="M9" s="45">
        <v>0</v>
      </c>
    </row>
    <row r="10" spans="1:13" ht="45.75" customHeight="1" thickBot="1" x14ac:dyDescent="0.3">
      <c r="A10" s="266"/>
      <c r="B10" s="107">
        <v>4</v>
      </c>
      <c r="C10" s="108" t="s">
        <v>200</v>
      </c>
      <c r="D10" s="109" t="s">
        <v>201</v>
      </c>
      <c r="E10" s="110">
        <f t="shared" si="2"/>
        <v>0</v>
      </c>
      <c r="F10" s="110">
        <f t="shared" si="0"/>
        <v>0</v>
      </c>
      <c r="G10" s="110">
        <f t="shared" si="1"/>
        <v>0</v>
      </c>
      <c r="H10" s="110">
        <f>(((F10+G10)/95)*5)/10*9</f>
        <v>0</v>
      </c>
      <c r="I10" s="110">
        <f>(((F10+G10)/95)*5)/10</f>
        <v>0</v>
      </c>
      <c r="J10" s="111">
        <v>0</v>
      </c>
      <c r="K10" s="44"/>
      <c r="L10" s="44"/>
      <c r="M10" s="45">
        <v>0</v>
      </c>
    </row>
    <row r="11" spans="1:13" ht="72.75" customHeight="1" thickBot="1" x14ac:dyDescent="0.3">
      <c r="A11" s="267"/>
      <c r="B11" s="112">
        <v>4</v>
      </c>
      <c r="C11" s="113" t="s">
        <v>200</v>
      </c>
      <c r="D11" s="114" t="s">
        <v>201</v>
      </c>
      <c r="E11" s="115">
        <f t="shared" si="2"/>
        <v>0</v>
      </c>
      <c r="F11" s="115">
        <f t="shared" si="0"/>
        <v>0</v>
      </c>
      <c r="G11" s="115">
        <f t="shared" si="1"/>
        <v>0</v>
      </c>
      <c r="H11" s="115">
        <f>(((F11+G11)/95)*5)</f>
        <v>0</v>
      </c>
      <c r="I11" s="115">
        <v>0</v>
      </c>
      <c r="J11" s="116">
        <v>0</v>
      </c>
      <c r="K11" s="46"/>
      <c r="L11" s="46"/>
      <c r="M11" s="47">
        <v>0</v>
      </c>
    </row>
    <row r="12" spans="1:13" ht="39.75" customHeight="1" thickBot="1" x14ac:dyDescent="0.3">
      <c r="A12" s="265" t="s">
        <v>27</v>
      </c>
      <c r="B12" s="102">
        <v>6</v>
      </c>
      <c r="C12" s="103" t="s">
        <v>202</v>
      </c>
      <c r="D12" s="104" t="s">
        <v>203</v>
      </c>
      <c r="E12" s="105">
        <f t="shared" si="2"/>
        <v>0</v>
      </c>
      <c r="F12" s="105">
        <f t="shared" ref="F12:F20" si="3">0.75*M12</f>
        <v>0</v>
      </c>
      <c r="G12" s="105">
        <f t="shared" ref="G12:G20" si="4">0.25*M12</f>
        <v>0</v>
      </c>
      <c r="H12" s="105">
        <v>0</v>
      </c>
      <c r="I12" s="105">
        <f>((F12+G12)/(100-N12))*N12</f>
        <v>0</v>
      </c>
      <c r="J12" s="106">
        <v>0</v>
      </c>
      <c r="K12" s="42"/>
      <c r="L12" s="42"/>
      <c r="M12" s="43">
        <v>0</v>
      </c>
    </row>
    <row r="13" spans="1:13" ht="36" customHeight="1" thickBot="1" x14ac:dyDescent="0.3">
      <c r="A13" s="266"/>
      <c r="B13" s="107">
        <v>6</v>
      </c>
      <c r="C13" s="108" t="s">
        <v>202</v>
      </c>
      <c r="D13" s="109" t="s">
        <v>203</v>
      </c>
      <c r="E13" s="110">
        <f t="shared" si="2"/>
        <v>0</v>
      </c>
      <c r="F13" s="110">
        <f t="shared" si="3"/>
        <v>0</v>
      </c>
      <c r="G13" s="110">
        <f t="shared" si="4"/>
        <v>0</v>
      </c>
      <c r="H13" s="110">
        <v>0</v>
      </c>
      <c r="I13" s="110">
        <f>((F13+G13)/(100-N13))*N13</f>
        <v>0</v>
      </c>
      <c r="J13" s="111">
        <v>0</v>
      </c>
      <c r="K13" s="44"/>
      <c r="L13" s="44"/>
      <c r="M13" s="45">
        <v>0</v>
      </c>
    </row>
    <row r="14" spans="1:13" ht="63.75" customHeight="1" thickBot="1" x14ac:dyDescent="0.3">
      <c r="A14" s="266"/>
      <c r="B14" s="107">
        <v>6</v>
      </c>
      <c r="C14" s="108" t="s">
        <v>202</v>
      </c>
      <c r="D14" s="109" t="s">
        <v>203</v>
      </c>
      <c r="E14" s="110">
        <f t="shared" si="2"/>
        <v>0</v>
      </c>
      <c r="F14" s="110">
        <f t="shared" si="3"/>
        <v>0</v>
      </c>
      <c r="G14" s="110">
        <f t="shared" si="4"/>
        <v>0</v>
      </c>
      <c r="H14" s="110">
        <v>0</v>
      </c>
      <c r="I14" s="110">
        <f>((F14+G14)/(100-N14))*N14</f>
        <v>0</v>
      </c>
      <c r="J14" s="111">
        <v>0</v>
      </c>
      <c r="K14" s="44"/>
      <c r="L14" s="44"/>
      <c r="M14" s="45">
        <v>0</v>
      </c>
    </row>
    <row r="15" spans="1:13" ht="81.75" customHeight="1" thickBot="1" x14ac:dyDescent="0.3">
      <c r="A15" s="266"/>
      <c r="B15" s="107">
        <v>6</v>
      </c>
      <c r="C15" s="108" t="s">
        <v>202</v>
      </c>
      <c r="D15" s="109" t="s">
        <v>203</v>
      </c>
      <c r="E15" s="110">
        <f t="shared" si="2"/>
        <v>0</v>
      </c>
      <c r="F15" s="110">
        <f t="shared" si="3"/>
        <v>0</v>
      </c>
      <c r="G15" s="110">
        <f t="shared" si="4"/>
        <v>0</v>
      </c>
      <c r="H15" s="110">
        <v>0</v>
      </c>
      <c r="I15" s="110">
        <f t="shared" ref="I15:I20" si="5">((F15+G15)/(100-N15))*N15</f>
        <v>0</v>
      </c>
      <c r="J15" s="111">
        <v>0</v>
      </c>
      <c r="K15" s="44"/>
      <c r="L15" s="44"/>
      <c r="M15" s="45">
        <v>0</v>
      </c>
    </row>
    <row r="16" spans="1:13" ht="54.75" customHeight="1" thickBot="1" x14ac:dyDescent="0.3">
      <c r="A16" s="267"/>
      <c r="B16" s="112">
        <v>6</v>
      </c>
      <c r="C16" s="113" t="s">
        <v>202</v>
      </c>
      <c r="D16" s="114" t="s">
        <v>204</v>
      </c>
      <c r="E16" s="115">
        <f t="shared" si="2"/>
        <v>0</v>
      </c>
      <c r="F16" s="115">
        <f t="shared" si="3"/>
        <v>0</v>
      </c>
      <c r="G16" s="115">
        <f t="shared" si="4"/>
        <v>0</v>
      </c>
      <c r="H16" s="115">
        <v>0</v>
      </c>
      <c r="I16" s="115">
        <f t="shared" si="5"/>
        <v>0</v>
      </c>
      <c r="J16" s="116">
        <v>0</v>
      </c>
      <c r="K16" s="46"/>
      <c r="L16" s="46"/>
      <c r="M16" s="47">
        <v>0</v>
      </c>
    </row>
    <row r="17" spans="1:14" ht="63.75" customHeight="1" thickBot="1" x14ac:dyDescent="0.3">
      <c r="A17" s="265" t="s">
        <v>44</v>
      </c>
      <c r="B17" s="117">
        <v>2</v>
      </c>
      <c r="C17" s="118">
        <v>3</v>
      </c>
      <c r="D17" s="104" t="s">
        <v>205</v>
      </c>
      <c r="E17" s="105">
        <f t="shared" si="2"/>
        <v>0</v>
      </c>
      <c r="F17" s="105">
        <f t="shared" si="3"/>
        <v>0</v>
      </c>
      <c r="G17" s="105">
        <f t="shared" si="4"/>
        <v>0</v>
      </c>
      <c r="H17" s="105">
        <v>0</v>
      </c>
      <c r="I17" s="105">
        <f t="shared" si="5"/>
        <v>0</v>
      </c>
      <c r="J17" s="106">
        <v>0</v>
      </c>
      <c r="K17" s="48" t="s">
        <v>45</v>
      </c>
      <c r="L17" s="42"/>
      <c r="M17" s="43">
        <v>0</v>
      </c>
    </row>
    <row r="18" spans="1:14" ht="54.75" customHeight="1" thickBot="1" x14ac:dyDescent="0.3">
      <c r="A18" s="266"/>
      <c r="B18" s="119">
        <v>2</v>
      </c>
      <c r="C18" s="120">
        <v>3</v>
      </c>
      <c r="D18" s="109" t="s">
        <v>205</v>
      </c>
      <c r="E18" s="110">
        <f t="shared" si="2"/>
        <v>0</v>
      </c>
      <c r="F18" s="110">
        <f t="shared" si="3"/>
        <v>0</v>
      </c>
      <c r="G18" s="110">
        <f t="shared" si="4"/>
        <v>0</v>
      </c>
      <c r="H18" s="110">
        <v>0</v>
      </c>
      <c r="I18" s="110">
        <f t="shared" si="5"/>
        <v>0</v>
      </c>
      <c r="J18" s="111">
        <v>0</v>
      </c>
      <c r="K18" s="261" t="s">
        <v>199</v>
      </c>
      <c r="L18" s="262"/>
      <c r="M18" s="45">
        <v>0</v>
      </c>
    </row>
    <row r="19" spans="1:14" ht="45.75" customHeight="1" thickBot="1" x14ac:dyDescent="0.3">
      <c r="A19" s="266"/>
      <c r="B19" s="119" t="s">
        <v>47</v>
      </c>
      <c r="C19" s="120">
        <v>3</v>
      </c>
      <c r="D19" s="109" t="s">
        <v>205</v>
      </c>
      <c r="E19" s="110">
        <f t="shared" si="2"/>
        <v>0</v>
      </c>
      <c r="F19" s="110">
        <f t="shared" si="3"/>
        <v>0</v>
      </c>
      <c r="G19" s="110">
        <f t="shared" si="4"/>
        <v>0</v>
      </c>
      <c r="H19" s="110">
        <v>0</v>
      </c>
      <c r="I19" s="110">
        <f t="shared" si="5"/>
        <v>0</v>
      </c>
      <c r="J19" s="111">
        <v>0</v>
      </c>
      <c r="K19" s="261" t="s">
        <v>49</v>
      </c>
      <c r="L19" s="262"/>
      <c r="M19" s="45">
        <v>0</v>
      </c>
    </row>
    <row r="20" spans="1:14" ht="63.75" customHeight="1" thickBot="1" x14ac:dyDescent="0.3">
      <c r="A20" s="267"/>
      <c r="B20" s="121" t="s">
        <v>47</v>
      </c>
      <c r="C20" s="122">
        <v>3</v>
      </c>
      <c r="D20" s="114" t="s">
        <v>205</v>
      </c>
      <c r="E20" s="115">
        <f t="shared" si="2"/>
        <v>0</v>
      </c>
      <c r="F20" s="115">
        <f t="shared" si="3"/>
        <v>0</v>
      </c>
      <c r="G20" s="115">
        <f t="shared" si="4"/>
        <v>0</v>
      </c>
      <c r="H20" s="115">
        <v>0</v>
      </c>
      <c r="I20" s="115">
        <f t="shared" si="5"/>
        <v>0</v>
      </c>
      <c r="J20" s="116">
        <v>0</v>
      </c>
      <c r="K20" s="49" t="s">
        <v>50</v>
      </c>
      <c r="L20" s="46"/>
      <c r="M20" s="47">
        <v>0</v>
      </c>
    </row>
    <row r="21" spans="1:14" ht="15.75" thickBot="1" x14ac:dyDescent="0.3">
      <c r="A21" s="263" t="s">
        <v>0</v>
      </c>
      <c r="B21" s="264"/>
      <c r="C21" s="264"/>
      <c r="D21" s="264"/>
      <c r="E21" s="23">
        <f t="shared" ref="E21:J21" si="6">SUM(E6:E20)</f>
        <v>0</v>
      </c>
      <c r="F21" s="23">
        <f t="shared" si="6"/>
        <v>0</v>
      </c>
      <c r="G21" s="23">
        <f t="shared" si="6"/>
        <v>0</v>
      </c>
      <c r="H21" s="23">
        <f t="shared" si="6"/>
        <v>0</v>
      </c>
      <c r="I21" s="23">
        <f t="shared" si="6"/>
        <v>0</v>
      </c>
      <c r="J21" s="23">
        <f t="shared" si="6"/>
        <v>0</v>
      </c>
      <c r="K21"/>
      <c r="L21"/>
      <c r="M21" s="21">
        <f>F21+G21</f>
        <v>0</v>
      </c>
    </row>
    <row r="26" spans="1:14" ht="15.75" thickBot="1" x14ac:dyDescent="0.3">
      <c r="A26" s="283" t="s">
        <v>315</v>
      </c>
      <c r="B26" s="284"/>
      <c r="C26" s="284"/>
      <c r="D26" s="284"/>
      <c r="E26" s="284"/>
      <c r="F26" s="284"/>
      <c r="G26" s="284"/>
      <c r="H26" s="284"/>
      <c r="I26" s="284"/>
      <c r="J26" s="284"/>
      <c r="K26" s="284"/>
      <c r="L26" s="284"/>
      <c r="M26" s="284"/>
    </row>
    <row r="27" spans="1:14" ht="15.75" thickBot="1" x14ac:dyDescent="0.3">
      <c r="A27" s="268" t="s">
        <v>13</v>
      </c>
      <c r="B27" s="270" t="s">
        <v>12</v>
      </c>
      <c r="C27" s="270" t="s">
        <v>11</v>
      </c>
      <c r="D27" s="270" t="s">
        <v>10</v>
      </c>
      <c r="E27" s="274" t="s">
        <v>9</v>
      </c>
      <c r="F27" s="275"/>
      <c r="G27" s="275"/>
      <c r="H27" s="275"/>
      <c r="I27" s="276"/>
      <c r="J27" s="270" t="s">
        <v>8</v>
      </c>
    </row>
    <row r="28" spans="1:14" x14ac:dyDescent="0.25">
      <c r="A28" s="269"/>
      <c r="B28" s="271"/>
      <c r="C28" s="271"/>
      <c r="D28" s="271"/>
      <c r="E28" s="277" t="s">
        <v>7</v>
      </c>
      <c r="F28" s="279" t="s">
        <v>6</v>
      </c>
      <c r="G28" s="280"/>
      <c r="H28" s="279" t="s">
        <v>5</v>
      </c>
      <c r="I28" s="280"/>
      <c r="J28" s="271"/>
    </row>
    <row r="29" spans="1:14" ht="15.75" thickBot="1" x14ac:dyDescent="0.3">
      <c r="A29" s="269"/>
      <c r="B29" s="271"/>
      <c r="C29" s="271"/>
      <c r="D29" s="271"/>
      <c r="E29" s="278"/>
      <c r="F29" s="281"/>
      <c r="G29" s="282"/>
      <c r="H29" s="281"/>
      <c r="I29" s="282"/>
      <c r="J29" s="271"/>
    </row>
    <row r="30" spans="1:14" ht="45.75" thickBot="1" x14ac:dyDescent="0.3">
      <c r="A30" s="269"/>
      <c r="B30" s="271"/>
      <c r="C30" s="271"/>
      <c r="D30" s="271"/>
      <c r="E30" s="278"/>
      <c r="F30" s="25" t="s">
        <v>4</v>
      </c>
      <c r="G30" s="25" t="s">
        <v>3</v>
      </c>
      <c r="H30" s="25" t="s">
        <v>2</v>
      </c>
      <c r="I30" s="25" t="s">
        <v>1</v>
      </c>
      <c r="J30" s="271"/>
    </row>
    <row r="31" spans="1:14" ht="36.75" thickBot="1" x14ac:dyDescent="0.3">
      <c r="A31" s="175" t="s">
        <v>21</v>
      </c>
      <c r="B31" s="102">
        <v>4</v>
      </c>
      <c r="C31" s="103" t="s">
        <v>200</v>
      </c>
      <c r="D31" s="104" t="s">
        <v>201</v>
      </c>
      <c r="E31" s="105">
        <f>F31+G31+H31+I31</f>
        <v>0</v>
      </c>
      <c r="F31" s="105">
        <f>0.85*M31</f>
        <v>0</v>
      </c>
      <c r="G31" s="105">
        <f>0.15*M31</f>
        <v>0</v>
      </c>
      <c r="H31" s="105">
        <f>((F31+G31)/95)*5</f>
        <v>0</v>
      </c>
      <c r="I31" s="105">
        <v>0</v>
      </c>
      <c r="J31" s="106">
        <v>0</v>
      </c>
      <c r="K31" s="170"/>
      <c r="L31" s="171"/>
      <c r="M31" s="172"/>
    </row>
    <row r="32" spans="1:14" ht="27.75" thickBot="1" x14ac:dyDescent="0.3">
      <c r="A32" s="266" t="s">
        <v>27</v>
      </c>
      <c r="B32" s="107">
        <v>6</v>
      </c>
      <c r="C32" s="108" t="s">
        <v>202</v>
      </c>
      <c r="D32" s="109" t="s">
        <v>203</v>
      </c>
      <c r="E32" s="110">
        <f>F32+G32+H32+I32</f>
        <v>0</v>
      </c>
      <c r="F32" s="110">
        <f>0.75*M32</f>
        <v>0</v>
      </c>
      <c r="G32" s="110">
        <f>0.25*M32</f>
        <v>0</v>
      </c>
      <c r="H32" s="110">
        <v>0</v>
      </c>
      <c r="I32" s="110">
        <f>((F32+G32)/(100-N32))*N32</f>
        <v>0</v>
      </c>
      <c r="J32" s="111">
        <v>0</v>
      </c>
      <c r="K32" s="44"/>
      <c r="L32" s="44"/>
      <c r="M32" s="54"/>
      <c r="N32" s="173"/>
    </row>
    <row r="33" spans="1:14" ht="18" x14ac:dyDescent="0.25">
      <c r="A33" s="266"/>
      <c r="B33" s="160">
        <v>6</v>
      </c>
      <c r="C33" s="162" t="s">
        <v>202</v>
      </c>
      <c r="D33" s="163" t="s">
        <v>204</v>
      </c>
      <c r="E33" s="164">
        <f>F33+G33+H33+I33</f>
        <v>0</v>
      </c>
      <c r="F33" s="166">
        <f>0.75*M33</f>
        <v>0</v>
      </c>
      <c r="G33" s="166">
        <f>0.25*M33</f>
        <v>0</v>
      </c>
      <c r="H33" s="166">
        <v>0</v>
      </c>
      <c r="I33" s="166">
        <f>((F33+G33)/(100-N33))*N33</f>
        <v>0</v>
      </c>
      <c r="J33" s="167">
        <v>0</v>
      </c>
      <c r="K33" s="44"/>
      <c r="L33" s="169"/>
      <c r="M33" s="54"/>
      <c r="N33" s="173"/>
    </row>
    <row r="34" spans="1:14" ht="36.75" thickBot="1" x14ac:dyDescent="0.3">
      <c r="A34" s="159" t="s">
        <v>44</v>
      </c>
      <c r="B34" s="121" t="s">
        <v>47</v>
      </c>
      <c r="C34" s="161">
        <v>3</v>
      </c>
      <c r="D34" s="114" t="s">
        <v>205</v>
      </c>
      <c r="E34" s="165">
        <f>F34+G34+H34+I34</f>
        <v>0</v>
      </c>
      <c r="F34" s="115">
        <f>0.75*M34</f>
        <v>0</v>
      </c>
      <c r="G34" s="115">
        <f>0.25*M34</f>
        <v>0</v>
      </c>
      <c r="H34" s="115">
        <v>0</v>
      </c>
      <c r="I34" s="115">
        <f>((F34+G34)/(100-N34))*N34</f>
        <v>0</v>
      </c>
      <c r="J34" s="116">
        <v>0</v>
      </c>
      <c r="K34" s="168"/>
      <c r="L34" s="169"/>
      <c r="M34" s="174"/>
    </row>
    <row r="35" spans="1:14" ht="15.75" thickBot="1" x14ac:dyDescent="0.3">
      <c r="A35" s="263" t="s">
        <v>0</v>
      </c>
      <c r="B35" s="264"/>
      <c r="C35" s="264"/>
      <c r="D35" s="264"/>
      <c r="E35" s="23">
        <f t="shared" ref="E35:J35" si="7">SUM(E31:E34)</f>
        <v>0</v>
      </c>
      <c r="F35" s="23">
        <f t="shared" si="7"/>
        <v>0</v>
      </c>
      <c r="G35" s="23">
        <f t="shared" si="7"/>
        <v>0</v>
      </c>
      <c r="H35" s="23">
        <f t="shared" si="7"/>
        <v>0</v>
      </c>
      <c r="I35" s="23">
        <f t="shared" si="7"/>
        <v>0</v>
      </c>
      <c r="J35" s="23">
        <f t="shared" si="7"/>
        <v>0</v>
      </c>
      <c r="K35"/>
      <c r="L35"/>
      <c r="M35" s="21"/>
    </row>
    <row r="39" spans="1:14" x14ac:dyDescent="0.25">
      <c r="C39" s="176"/>
    </row>
  </sheetData>
  <mergeCells count="28">
    <mergeCell ref="A35:D35"/>
    <mergeCell ref="A32:A33"/>
    <mergeCell ref="A26:M26"/>
    <mergeCell ref="A27:A30"/>
    <mergeCell ref="B27:B30"/>
    <mergeCell ref="C27:C30"/>
    <mergeCell ref="D27:D30"/>
    <mergeCell ref="E27:I27"/>
    <mergeCell ref="J27:J30"/>
    <mergeCell ref="E28:E30"/>
    <mergeCell ref="F28:G29"/>
    <mergeCell ref="H28:I29"/>
    <mergeCell ref="A1:M1"/>
    <mergeCell ref="E2:I2"/>
    <mergeCell ref="J2:J5"/>
    <mergeCell ref="E3:E5"/>
    <mergeCell ref="F3:G4"/>
    <mergeCell ref="H3:I4"/>
    <mergeCell ref="A6:A11"/>
    <mergeCell ref="A2:A5"/>
    <mergeCell ref="B2:B5"/>
    <mergeCell ref="C2:C5"/>
    <mergeCell ref="D2:D5"/>
    <mergeCell ref="K18:L18"/>
    <mergeCell ref="K19:L19"/>
    <mergeCell ref="A21:D21"/>
    <mergeCell ref="A12:A16"/>
    <mergeCell ref="A17:A20"/>
  </mergeCells>
  <pageMargins left="0.7" right="0.7" top="0.78740157499999996" bottom="0.78740157499999996" header="0.3" footer="0.3"/>
  <pageSetup paperSize="8" scale="95" orientation="landscape" r:id="rId1"/>
  <rowBreaks count="1" manualBreakCount="1">
    <brk id="11"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31"/>
  <sheetViews>
    <sheetView topLeftCell="A4" zoomScaleNormal="100" zoomScaleSheetLayoutView="100" workbookViewId="0">
      <selection activeCell="T20" sqref="T20"/>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11.28515625" customWidth="1"/>
    <col min="15" max="15" width="13.7109375" customWidth="1"/>
    <col min="16" max="16" width="12" customWidth="1"/>
    <col min="17" max="17" width="15.85546875" customWidth="1"/>
    <col min="18" max="18" width="14.7109375" customWidth="1"/>
  </cols>
  <sheetData>
    <row r="1" spans="1:18" ht="16.5" thickBot="1" x14ac:dyDescent="0.3">
      <c r="A1" s="327" t="s">
        <v>306</v>
      </c>
      <c r="B1" s="328"/>
      <c r="C1" s="328"/>
      <c r="D1" s="328"/>
      <c r="E1" s="328"/>
      <c r="F1" s="328"/>
      <c r="G1" s="328"/>
      <c r="H1" s="328"/>
      <c r="I1" s="328"/>
      <c r="J1" s="328"/>
      <c r="K1" s="328"/>
      <c r="L1" s="328"/>
      <c r="M1" s="328"/>
      <c r="N1" s="329" t="s">
        <v>305</v>
      </c>
      <c r="O1" s="329"/>
      <c r="P1" s="329"/>
      <c r="Q1" s="329"/>
      <c r="R1" s="329"/>
    </row>
    <row r="2" spans="1:18" ht="36.75" thickBot="1" x14ac:dyDescent="0.3">
      <c r="A2" s="3"/>
      <c r="B2" s="4"/>
      <c r="C2" s="4"/>
      <c r="D2" s="5"/>
      <c r="E2" s="5"/>
      <c r="F2" s="5"/>
      <c r="G2" s="5"/>
      <c r="H2" s="5"/>
      <c r="I2" s="5"/>
      <c r="J2" s="5"/>
      <c r="K2" s="5"/>
      <c r="L2" s="5"/>
      <c r="M2" s="4"/>
      <c r="N2" s="6" t="s">
        <v>15</v>
      </c>
      <c r="O2" s="7" t="s">
        <v>16</v>
      </c>
      <c r="P2" s="7" t="s">
        <v>285</v>
      </c>
      <c r="Q2" s="7" t="s">
        <v>286</v>
      </c>
      <c r="R2" s="7" t="s">
        <v>287</v>
      </c>
    </row>
    <row r="3" spans="1:18" ht="16.5" thickTop="1" thickBot="1" x14ac:dyDescent="0.3">
      <c r="A3" s="3"/>
      <c r="B3" s="4"/>
      <c r="C3" s="4"/>
      <c r="D3" s="5"/>
      <c r="E3" s="5"/>
      <c r="F3" s="5"/>
      <c r="G3" s="5"/>
      <c r="H3" s="5"/>
      <c r="I3" s="5"/>
      <c r="J3" s="5"/>
      <c r="K3" s="5"/>
      <c r="L3" s="5"/>
      <c r="M3" s="4"/>
      <c r="N3" s="303" t="s">
        <v>20</v>
      </c>
      <c r="O3" s="8" t="s">
        <v>21</v>
      </c>
      <c r="P3" s="30">
        <f>I15+I16+I17+I18+I19+I20</f>
        <v>38809.949999999997</v>
      </c>
      <c r="Q3" s="30">
        <f>J15+J16+J17+J18+J19+J20</f>
        <v>0</v>
      </c>
      <c r="R3" s="31">
        <f>P3+Q3</f>
        <v>38809.949999999997</v>
      </c>
    </row>
    <row r="4" spans="1:18" ht="15.75" thickBot="1" x14ac:dyDescent="0.3">
      <c r="A4" s="3"/>
      <c r="B4" s="4"/>
      <c r="C4" s="4"/>
      <c r="D4" s="5"/>
      <c r="E4" s="5"/>
      <c r="F4" s="5"/>
      <c r="G4" s="5"/>
      <c r="H4" s="5"/>
      <c r="I4" s="5"/>
      <c r="J4" s="5"/>
      <c r="K4" s="5"/>
      <c r="L4" s="5"/>
      <c r="M4" s="4"/>
      <c r="N4" s="304"/>
      <c r="O4" s="10" t="s">
        <v>22</v>
      </c>
      <c r="P4" s="9"/>
      <c r="Q4" s="9"/>
      <c r="R4" s="11"/>
    </row>
    <row r="5" spans="1:18" ht="15.75" thickBot="1" x14ac:dyDescent="0.3">
      <c r="A5" s="3"/>
      <c r="B5" s="4"/>
      <c r="C5" s="4"/>
      <c r="D5" s="5"/>
      <c r="E5" s="5"/>
      <c r="F5" s="5"/>
      <c r="G5" s="5"/>
      <c r="H5" s="5"/>
      <c r="I5" s="5"/>
      <c r="J5" s="5"/>
      <c r="K5" s="5"/>
      <c r="L5" s="5"/>
      <c r="M5" s="4"/>
      <c r="N5" s="305"/>
      <c r="O5" s="12" t="s">
        <v>23</v>
      </c>
      <c r="P5" s="35">
        <f>P3+P4</f>
        <v>38809.949999999997</v>
      </c>
      <c r="Q5" s="35">
        <f>Q3+Q4</f>
        <v>0</v>
      </c>
      <c r="R5" s="36">
        <f>R3+R4</f>
        <v>38809.949999999997</v>
      </c>
    </row>
    <row r="6" spans="1:18" ht="15" customHeight="1" thickBot="1" x14ac:dyDescent="0.3">
      <c r="A6" s="3"/>
      <c r="B6" s="4"/>
      <c r="C6" s="4"/>
      <c r="D6" s="5"/>
      <c r="E6" s="5"/>
      <c r="F6" s="5"/>
      <c r="G6" s="5"/>
      <c r="H6" s="5"/>
      <c r="I6" s="5"/>
      <c r="J6" s="5"/>
      <c r="K6" s="5"/>
      <c r="L6" s="5"/>
      <c r="M6" s="4"/>
      <c r="N6" s="306" t="s">
        <v>24</v>
      </c>
      <c r="O6" s="10" t="s">
        <v>25</v>
      </c>
      <c r="P6" s="30">
        <f>I26+I27+I28+I29</f>
        <v>11094.183000000001</v>
      </c>
      <c r="Q6" s="30">
        <f>J26+J27+J28+J29</f>
        <v>1957.7969999999998</v>
      </c>
      <c r="R6" s="32">
        <f>P6+Q6</f>
        <v>13051.980000000001</v>
      </c>
    </row>
    <row r="7" spans="1:18" ht="15.75" thickBot="1" x14ac:dyDescent="0.3">
      <c r="A7" s="3"/>
      <c r="B7" s="4"/>
      <c r="C7" s="4"/>
      <c r="D7" s="5"/>
      <c r="E7" s="5"/>
      <c r="F7" s="5"/>
      <c r="G7" s="5"/>
      <c r="H7" s="5"/>
      <c r="I7" s="5"/>
      <c r="J7" s="5"/>
      <c r="K7" s="5"/>
      <c r="L7" s="5"/>
      <c r="M7" s="4"/>
      <c r="N7" s="305"/>
      <c r="O7" s="129" t="s">
        <v>288</v>
      </c>
      <c r="P7" s="177">
        <f>P6</f>
        <v>11094.183000000001</v>
      </c>
      <c r="Q7" s="177">
        <f>Q6</f>
        <v>1957.7969999999998</v>
      </c>
      <c r="R7" s="178">
        <f>R6</f>
        <v>13051.980000000001</v>
      </c>
    </row>
    <row r="8" spans="1:18" ht="15.75" thickBot="1" x14ac:dyDescent="0.3">
      <c r="A8" s="3"/>
      <c r="B8" s="4"/>
      <c r="C8" s="4"/>
      <c r="D8" s="5"/>
      <c r="E8" s="5"/>
      <c r="F8" s="5"/>
      <c r="G8" s="5"/>
      <c r="H8" s="5"/>
      <c r="I8" s="5"/>
      <c r="J8" s="5"/>
      <c r="K8" s="5"/>
      <c r="L8" s="5"/>
      <c r="M8" s="4"/>
      <c r="N8" s="306" t="s">
        <v>26</v>
      </c>
      <c r="O8" s="13" t="s">
        <v>27</v>
      </c>
      <c r="P8" s="33">
        <f>I21+I22+I23+I24+I25</f>
        <v>20838.759999999998</v>
      </c>
      <c r="Q8" s="33">
        <f>J21+J22+J23+J24+J25</f>
        <v>6946.26</v>
      </c>
      <c r="R8" s="34">
        <f>P8+Q8</f>
        <v>27785.019999999997</v>
      </c>
    </row>
    <row r="9" spans="1:18" ht="15.6" customHeight="1" thickBot="1" x14ac:dyDescent="0.3">
      <c r="A9" s="3"/>
      <c r="B9" s="4"/>
      <c r="C9" s="4"/>
      <c r="D9" s="5"/>
      <c r="E9" s="5"/>
      <c r="F9" s="5"/>
      <c r="G9" s="5"/>
      <c r="H9" s="5"/>
      <c r="I9" s="5"/>
      <c r="J9" s="5"/>
      <c r="K9" s="5"/>
      <c r="L9" s="5"/>
      <c r="M9" s="4"/>
      <c r="N9" s="307"/>
      <c r="O9" s="12" t="s">
        <v>28</v>
      </c>
      <c r="P9" s="177">
        <f>P8</f>
        <v>20838.759999999998</v>
      </c>
      <c r="Q9" s="177">
        <f>Q8</f>
        <v>6946.26</v>
      </c>
      <c r="R9" s="177">
        <f>R8</f>
        <v>27785.019999999997</v>
      </c>
    </row>
    <row r="10" spans="1:18" ht="16.5" thickTop="1" thickBot="1" x14ac:dyDescent="0.3">
      <c r="A10" s="330" t="s">
        <v>183</v>
      </c>
      <c r="B10" s="329"/>
      <c r="C10" s="329"/>
      <c r="D10" s="329"/>
      <c r="E10" s="329"/>
      <c r="F10" s="329"/>
      <c r="G10" s="329"/>
      <c r="H10" s="329"/>
      <c r="I10" s="329"/>
      <c r="J10" s="329"/>
      <c r="K10" s="329"/>
      <c r="L10" s="329"/>
      <c r="M10" s="329"/>
      <c r="N10" s="14" t="s">
        <v>29</v>
      </c>
      <c r="O10" s="15" t="s">
        <v>0</v>
      </c>
      <c r="P10" s="37">
        <f>P5+P7+P9</f>
        <v>70742.892999999996</v>
      </c>
      <c r="Q10" s="37">
        <f>Q5+Q7+Q9</f>
        <v>8904.0570000000007</v>
      </c>
      <c r="R10" s="38">
        <f>R5+R7+R9</f>
        <v>79646.95</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39" customHeight="1" thickBot="1" x14ac:dyDescent="0.3">
      <c r="A15" s="65" t="s">
        <v>64</v>
      </c>
      <c r="B15" s="66" t="s">
        <v>63</v>
      </c>
      <c r="C15" s="66" t="s">
        <v>43</v>
      </c>
      <c r="D15" s="132" t="s">
        <v>21</v>
      </c>
      <c r="E15" s="102">
        <v>4</v>
      </c>
      <c r="F15" s="132" t="s">
        <v>200</v>
      </c>
      <c r="G15" s="133" t="s">
        <v>201</v>
      </c>
      <c r="H15" s="105">
        <f>I15+J15+K15+L15</f>
        <v>20526.34</v>
      </c>
      <c r="I15" s="105">
        <f>16575+2925</f>
        <v>19500</v>
      </c>
      <c r="J15" s="105">
        <v>0</v>
      </c>
      <c r="K15" s="105">
        <v>1026.3399999999999</v>
      </c>
      <c r="L15" s="105">
        <v>0</v>
      </c>
      <c r="M15" s="106">
        <v>0</v>
      </c>
      <c r="N15" s="42"/>
      <c r="O15" s="52">
        <v>19500</v>
      </c>
      <c r="P15" s="42"/>
      <c r="Q15" s="42"/>
      <c r="R15" s="53"/>
    </row>
    <row r="16" spans="1:18" ht="39" customHeight="1" thickBot="1" x14ac:dyDescent="0.3">
      <c r="A16" s="18" t="s">
        <v>84</v>
      </c>
      <c r="B16" s="19" t="s">
        <v>185</v>
      </c>
      <c r="C16" s="19" t="s">
        <v>43</v>
      </c>
      <c r="D16" s="134" t="s">
        <v>21</v>
      </c>
      <c r="E16" s="107">
        <v>4</v>
      </c>
      <c r="F16" s="134" t="s">
        <v>200</v>
      </c>
      <c r="G16" s="135" t="s">
        <v>201</v>
      </c>
      <c r="H16" s="110">
        <f>I16+J16+K16+L16</f>
        <v>1052.6300000000001</v>
      </c>
      <c r="I16" s="110">
        <f>850+150</f>
        <v>1000</v>
      </c>
      <c r="J16" s="110">
        <v>0</v>
      </c>
      <c r="K16" s="110">
        <v>52.63</v>
      </c>
      <c r="L16" s="110">
        <v>0</v>
      </c>
      <c r="M16" s="111">
        <v>0</v>
      </c>
      <c r="N16" s="44"/>
      <c r="O16" s="54">
        <v>1000</v>
      </c>
      <c r="P16" s="44"/>
      <c r="Q16" s="44"/>
      <c r="R16" s="55"/>
    </row>
    <row r="17" spans="1:19" ht="39" customHeight="1" thickBot="1" x14ac:dyDescent="0.3">
      <c r="A17" s="18" t="s">
        <v>91</v>
      </c>
      <c r="B17" s="19" t="s">
        <v>184</v>
      </c>
      <c r="C17" s="19" t="s">
        <v>43</v>
      </c>
      <c r="D17" s="134" t="s">
        <v>21</v>
      </c>
      <c r="E17" s="107">
        <v>4</v>
      </c>
      <c r="F17" s="134" t="s">
        <v>200</v>
      </c>
      <c r="G17" s="135" t="s">
        <v>201</v>
      </c>
      <c r="H17" s="110">
        <f t="shared" ref="H17:H25" si="0">I17+J17+K17+L17</f>
        <v>7694.68</v>
      </c>
      <c r="I17" s="110">
        <f>6213.45+1096.5</f>
        <v>7309.95</v>
      </c>
      <c r="J17" s="110">
        <v>0</v>
      </c>
      <c r="K17" s="110">
        <v>384.73</v>
      </c>
      <c r="L17" s="110">
        <v>0</v>
      </c>
      <c r="M17" s="111">
        <v>0</v>
      </c>
      <c r="N17" s="44"/>
      <c r="O17" s="54">
        <v>7309.95</v>
      </c>
      <c r="P17" s="44"/>
      <c r="Q17" s="44"/>
      <c r="R17" s="55"/>
    </row>
    <row r="18" spans="1:19" ht="51" customHeight="1" thickBot="1" x14ac:dyDescent="0.3">
      <c r="A18" s="18" t="s">
        <v>106</v>
      </c>
      <c r="B18" s="19" t="s">
        <v>186</v>
      </c>
      <c r="C18" s="19" t="s">
        <v>43</v>
      </c>
      <c r="D18" s="134" t="s">
        <v>21</v>
      </c>
      <c r="E18" s="107">
        <v>4</v>
      </c>
      <c r="F18" s="134" t="s">
        <v>200</v>
      </c>
      <c r="G18" s="135" t="s">
        <v>201</v>
      </c>
      <c r="H18" s="110">
        <f t="shared" si="0"/>
        <v>4210.53</v>
      </c>
      <c r="I18" s="110">
        <f>3400+600</f>
        <v>4000</v>
      </c>
      <c r="J18" s="110">
        <v>0</v>
      </c>
      <c r="K18" s="110">
        <v>0</v>
      </c>
      <c r="L18" s="110">
        <v>210.53</v>
      </c>
      <c r="M18" s="111">
        <v>0</v>
      </c>
      <c r="N18" s="44"/>
      <c r="O18" s="54">
        <v>4000</v>
      </c>
      <c r="P18" s="44"/>
      <c r="Q18" s="44"/>
      <c r="R18" s="55"/>
    </row>
    <row r="19" spans="1:19" ht="45.75" customHeight="1" thickBot="1" x14ac:dyDescent="0.3">
      <c r="A19" s="18" t="s">
        <v>124</v>
      </c>
      <c r="B19" s="19" t="s">
        <v>187</v>
      </c>
      <c r="C19" s="19" t="s">
        <v>43</v>
      </c>
      <c r="D19" s="134" t="s">
        <v>21</v>
      </c>
      <c r="E19" s="107">
        <v>4</v>
      </c>
      <c r="F19" s="134" t="s">
        <v>200</v>
      </c>
      <c r="G19" s="135" t="s">
        <v>201</v>
      </c>
      <c r="H19" s="110">
        <f t="shared" si="0"/>
        <v>5263.13</v>
      </c>
      <c r="I19" s="110">
        <f>4250+750</f>
        <v>5000</v>
      </c>
      <c r="J19" s="110">
        <v>0</v>
      </c>
      <c r="K19" s="110">
        <v>236.82</v>
      </c>
      <c r="L19" s="110">
        <v>26.31</v>
      </c>
      <c r="M19" s="111">
        <v>0</v>
      </c>
      <c r="N19" s="44"/>
      <c r="O19" s="54">
        <v>5000</v>
      </c>
      <c r="P19" s="44"/>
      <c r="Q19" s="44"/>
      <c r="R19" s="55"/>
    </row>
    <row r="20" spans="1:19" ht="39" customHeight="1" thickBot="1" x14ac:dyDescent="0.3">
      <c r="A20" s="26" t="s">
        <v>135</v>
      </c>
      <c r="B20" s="27" t="s">
        <v>188</v>
      </c>
      <c r="C20" s="27" t="s">
        <v>43</v>
      </c>
      <c r="D20" s="136" t="s">
        <v>21</v>
      </c>
      <c r="E20" s="137">
        <v>4</v>
      </c>
      <c r="F20" s="136" t="s">
        <v>200</v>
      </c>
      <c r="G20" s="138" t="s">
        <v>201</v>
      </c>
      <c r="H20" s="139">
        <f t="shared" si="0"/>
        <v>2105.25</v>
      </c>
      <c r="I20" s="139">
        <f>1700+300</f>
        <v>2000</v>
      </c>
      <c r="J20" s="139">
        <v>0</v>
      </c>
      <c r="K20" s="139">
        <v>105.25</v>
      </c>
      <c r="L20" s="139">
        <v>0</v>
      </c>
      <c r="M20" s="140">
        <v>0</v>
      </c>
      <c r="N20" s="46"/>
      <c r="O20" s="56">
        <v>2000</v>
      </c>
      <c r="P20" s="46"/>
      <c r="Q20" s="57"/>
      <c r="R20" s="58"/>
    </row>
    <row r="21" spans="1:19" ht="36" customHeight="1" thickBot="1" x14ac:dyDescent="0.3">
      <c r="A21" s="72" t="s">
        <v>143</v>
      </c>
      <c r="B21" s="66" t="s">
        <v>189</v>
      </c>
      <c r="C21" s="66" t="s">
        <v>43</v>
      </c>
      <c r="D21" s="132" t="s">
        <v>27</v>
      </c>
      <c r="E21" s="102">
        <v>6</v>
      </c>
      <c r="F21" s="132" t="s">
        <v>202</v>
      </c>
      <c r="G21" s="141" t="s">
        <v>203</v>
      </c>
      <c r="H21" s="105">
        <f t="shared" si="0"/>
        <v>7440</v>
      </c>
      <c r="I21" s="105">
        <v>2790</v>
      </c>
      <c r="J21" s="105">
        <v>930</v>
      </c>
      <c r="K21" s="105">
        <v>0</v>
      </c>
      <c r="L21" s="105">
        <v>3720</v>
      </c>
      <c r="M21" s="106">
        <v>0</v>
      </c>
      <c r="N21" s="42"/>
      <c r="O21" s="52">
        <v>3720</v>
      </c>
      <c r="P21" s="59">
        <v>50</v>
      </c>
      <c r="Q21" s="60"/>
      <c r="R21" s="53"/>
    </row>
    <row r="22" spans="1:19" ht="39" customHeight="1" thickBot="1" x14ac:dyDescent="0.3">
      <c r="A22" s="18" t="s">
        <v>143</v>
      </c>
      <c r="B22" s="19" t="s">
        <v>190</v>
      </c>
      <c r="C22" s="19" t="s">
        <v>43</v>
      </c>
      <c r="D22" s="134" t="s">
        <v>27</v>
      </c>
      <c r="E22" s="107">
        <v>6</v>
      </c>
      <c r="F22" s="134" t="s">
        <v>202</v>
      </c>
      <c r="G22" s="138" t="s">
        <v>203</v>
      </c>
      <c r="H22" s="110">
        <f t="shared" si="0"/>
        <v>3125</v>
      </c>
      <c r="I22" s="110">
        <v>1875</v>
      </c>
      <c r="J22" s="110">
        <v>625</v>
      </c>
      <c r="K22" s="110">
        <v>0</v>
      </c>
      <c r="L22" s="110">
        <v>625</v>
      </c>
      <c r="M22" s="111">
        <v>0</v>
      </c>
      <c r="N22" s="44"/>
      <c r="O22" s="54">
        <v>2500</v>
      </c>
      <c r="P22" s="61">
        <v>20</v>
      </c>
      <c r="Q22" s="62"/>
      <c r="R22" s="55"/>
    </row>
    <row r="23" spans="1:19" ht="39" customHeight="1" thickBot="1" x14ac:dyDescent="0.3">
      <c r="A23" s="18" t="s">
        <v>150</v>
      </c>
      <c r="B23" s="19" t="s">
        <v>191</v>
      </c>
      <c r="C23" s="19" t="s">
        <v>43</v>
      </c>
      <c r="D23" s="134" t="s">
        <v>27</v>
      </c>
      <c r="E23" s="107">
        <v>6</v>
      </c>
      <c r="F23" s="134" t="s">
        <v>202</v>
      </c>
      <c r="G23" s="138" t="s">
        <v>203</v>
      </c>
      <c r="H23" s="110">
        <f t="shared" si="0"/>
        <v>44444.44</v>
      </c>
      <c r="I23" s="110">
        <v>15000</v>
      </c>
      <c r="J23" s="110">
        <v>5000</v>
      </c>
      <c r="K23" s="110">
        <v>0</v>
      </c>
      <c r="L23" s="110">
        <v>24444.44</v>
      </c>
      <c r="M23" s="111">
        <v>0</v>
      </c>
      <c r="N23" s="44"/>
      <c r="O23" s="54">
        <v>20000</v>
      </c>
      <c r="P23" s="61">
        <v>55</v>
      </c>
      <c r="Q23" s="62"/>
      <c r="R23" s="55"/>
    </row>
    <row r="24" spans="1:19" ht="39" customHeight="1" thickBot="1" x14ac:dyDescent="0.3">
      <c r="A24" s="18" t="s">
        <v>143</v>
      </c>
      <c r="B24" s="19" t="s">
        <v>192</v>
      </c>
      <c r="C24" s="19" t="s">
        <v>43</v>
      </c>
      <c r="D24" s="134" t="s">
        <v>27</v>
      </c>
      <c r="E24" s="107">
        <v>6</v>
      </c>
      <c r="F24" s="134" t="s">
        <v>202</v>
      </c>
      <c r="G24" s="138" t="s">
        <v>203</v>
      </c>
      <c r="H24" s="110">
        <f t="shared" si="0"/>
        <v>600</v>
      </c>
      <c r="I24" s="110">
        <v>225</v>
      </c>
      <c r="J24" s="110">
        <v>75</v>
      </c>
      <c r="K24" s="110">
        <v>0</v>
      </c>
      <c r="L24" s="110">
        <v>300</v>
      </c>
      <c r="M24" s="111">
        <v>0</v>
      </c>
      <c r="N24" s="44"/>
      <c r="O24" s="54">
        <v>300</v>
      </c>
      <c r="P24" s="61">
        <v>50</v>
      </c>
      <c r="Q24" s="62"/>
      <c r="R24" s="55"/>
    </row>
    <row r="25" spans="1:19" ht="39" customHeight="1" thickBot="1" x14ac:dyDescent="0.3">
      <c r="A25" s="26" t="s">
        <v>153</v>
      </c>
      <c r="B25" s="27" t="s">
        <v>193</v>
      </c>
      <c r="C25" s="27" t="s">
        <v>43</v>
      </c>
      <c r="D25" s="136" t="s">
        <v>27</v>
      </c>
      <c r="E25" s="137">
        <v>6</v>
      </c>
      <c r="F25" s="136" t="s">
        <v>202</v>
      </c>
      <c r="G25" s="142" t="s">
        <v>204</v>
      </c>
      <c r="H25" s="139">
        <f t="shared" si="0"/>
        <v>1581.28</v>
      </c>
      <c r="I25" s="139">
        <f>0.75*O25+0.01</f>
        <v>948.76</v>
      </c>
      <c r="J25" s="139">
        <f>0.25*O25+0.01</f>
        <v>316.26</v>
      </c>
      <c r="K25" s="139">
        <v>0</v>
      </c>
      <c r="L25" s="139">
        <f>316.25+0.01</f>
        <v>316.26</v>
      </c>
      <c r="M25" s="140">
        <v>0</v>
      </c>
      <c r="N25" s="145"/>
      <c r="O25" s="146">
        <v>1265</v>
      </c>
      <c r="P25" s="63">
        <v>20</v>
      </c>
      <c r="Q25" s="64"/>
      <c r="R25" s="58"/>
      <c r="S25" s="41">
        <f>'e. a h. Financování CLLD 2018'!O25+'e. a h. Financování CLLD 2020'!O25+'e. a h. Financování CLLD 2022'!O25</f>
        <v>1265</v>
      </c>
    </row>
    <row r="26" spans="1:19" ht="48.75" customHeight="1" thickBot="1" x14ac:dyDescent="0.3">
      <c r="A26" s="65" t="s">
        <v>154</v>
      </c>
      <c r="B26" s="66" t="s">
        <v>194</v>
      </c>
      <c r="C26" s="66" t="s">
        <v>43</v>
      </c>
      <c r="D26" s="132" t="s">
        <v>44</v>
      </c>
      <c r="E26" s="117" t="s">
        <v>47</v>
      </c>
      <c r="F26" s="102">
        <v>3</v>
      </c>
      <c r="G26" s="141" t="s">
        <v>205</v>
      </c>
      <c r="H26" s="105">
        <v>5220.8</v>
      </c>
      <c r="I26" s="105">
        <v>4437.68</v>
      </c>
      <c r="J26" s="105">
        <v>783.12</v>
      </c>
      <c r="K26" s="105">
        <v>0</v>
      </c>
      <c r="L26" s="105">
        <v>0</v>
      </c>
      <c r="M26" s="106">
        <v>0</v>
      </c>
      <c r="N26" s="147"/>
      <c r="O26" s="148">
        <v>5220.8</v>
      </c>
      <c r="P26" s="59">
        <v>0</v>
      </c>
      <c r="Q26" s="68" t="s">
        <v>45</v>
      </c>
      <c r="R26" s="53"/>
    </row>
    <row r="27" spans="1:19" ht="84" customHeight="1" thickBot="1" x14ac:dyDescent="0.3">
      <c r="A27" s="18" t="s">
        <v>91</v>
      </c>
      <c r="B27" s="19" t="s">
        <v>195</v>
      </c>
      <c r="C27" s="19" t="s">
        <v>43</v>
      </c>
      <c r="D27" s="134" t="s">
        <v>44</v>
      </c>
      <c r="E27" s="119">
        <v>2</v>
      </c>
      <c r="F27" s="107">
        <v>3</v>
      </c>
      <c r="G27" s="138" t="s">
        <v>48</v>
      </c>
      <c r="H27" s="110">
        <v>1305.21</v>
      </c>
      <c r="I27" s="110">
        <v>1109.4285</v>
      </c>
      <c r="J27" s="110">
        <v>195.78149999999999</v>
      </c>
      <c r="K27" s="110">
        <v>0</v>
      </c>
      <c r="L27" s="110">
        <f>((I27+J27)/(100-P27))*P27</f>
        <v>0</v>
      </c>
      <c r="M27" s="111">
        <v>0</v>
      </c>
      <c r="N27" s="149"/>
      <c r="O27" s="150">
        <v>1305.21</v>
      </c>
      <c r="P27" s="61">
        <v>0</v>
      </c>
      <c r="Q27" s="69" t="s">
        <v>199</v>
      </c>
      <c r="R27" s="55"/>
    </row>
    <row r="28" spans="1:19" ht="51" customHeight="1" thickBot="1" x14ac:dyDescent="0.3">
      <c r="A28" s="18" t="s">
        <v>154</v>
      </c>
      <c r="B28" s="19" t="s">
        <v>196</v>
      </c>
      <c r="C28" s="19" t="s">
        <v>43</v>
      </c>
      <c r="D28" s="134" t="s">
        <v>44</v>
      </c>
      <c r="E28" s="119" t="s">
        <v>47</v>
      </c>
      <c r="F28" s="107">
        <v>3</v>
      </c>
      <c r="G28" s="138" t="s">
        <v>48</v>
      </c>
      <c r="H28" s="110">
        <v>1957.75</v>
      </c>
      <c r="I28" s="110">
        <v>1664.0875000000001</v>
      </c>
      <c r="J28" s="110">
        <v>293.66250000000002</v>
      </c>
      <c r="K28" s="110">
        <v>0</v>
      </c>
      <c r="L28" s="110">
        <v>0</v>
      </c>
      <c r="M28" s="111">
        <v>0</v>
      </c>
      <c r="N28" s="149"/>
      <c r="O28" s="150">
        <v>1957.75</v>
      </c>
      <c r="P28" s="61">
        <v>0</v>
      </c>
      <c r="Q28" s="69" t="s">
        <v>49</v>
      </c>
      <c r="R28" s="55"/>
    </row>
    <row r="29" spans="1:19" ht="47.25" customHeight="1" thickBot="1" x14ac:dyDescent="0.3">
      <c r="A29" s="26" t="s">
        <v>172</v>
      </c>
      <c r="B29" s="27" t="s">
        <v>197</v>
      </c>
      <c r="C29" s="27" t="s">
        <v>43</v>
      </c>
      <c r="D29" s="143" t="s">
        <v>44</v>
      </c>
      <c r="E29" s="121" t="s">
        <v>47</v>
      </c>
      <c r="F29" s="112">
        <v>3</v>
      </c>
      <c r="G29" s="144" t="s">
        <v>48</v>
      </c>
      <c r="H29" s="115">
        <v>4568.22</v>
      </c>
      <c r="I29" s="115">
        <v>3882.9870000000001</v>
      </c>
      <c r="J29" s="115">
        <v>685.23299999999995</v>
      </c>
      <c r="K29" s="115">
        <f>ROUND(0.15*N29,2)</f>
        <v>0</v>
      </c>
      <c r="L29" s="115">
        <v>0</v>
      </c>
      <c r="M29" s="116">
        <v>0</v>
      </c>
      <c r="N29" s="154"/>
      <c r="O29" s="146">
        <v>4568.22</v>
      </c>
      <c r="P29" s="63">
        <v>15</v>
      </c>
      <c r="Q29" s="71" t="s">
        <v>50</v>
      </c>
      <c r="R29" s="58"/>
    </row>
    <row r="30" spans="1:19" ht="15.75" thickBot="1" x14ac:dyDescent="0.3">
      <c r="A30" s="309" t="s">
        <v>0</v>
      </c>
      <c r="B30" s="310"/>
      <c r="C30" s="310"/>
      <c r="D30" s="310"/>
      <c r="E30" s="310"/>
      <c r="F30" s="311"/>
      <c r="G30" s="22"/>
      <c r="H30" s="23">
        <f t="shared" ref="H30:M30" si="1">SUM(H15:H29)</f>
        <v>111095.26000000001</v>
      </c>
      <c r="I30" s="23">
        <f t="shared" si="1"/>
        <v>70742.892999999996</v>
      </c>
      <c r="J30" s="23">
        <f t="shared" si="1"/>
        <v>8904.0570000000007</v>
      </c>
      <c r="K30" s="23">
        <f t="shared" si="1"/>
        <v>1805.77</v>
      </c>
      <c r="L30" s="23">
        <f t="shared" si="1"/>
        <v>29642.539999999997</v>
      </c>
      <c r="M30" s="23">
        <f t="shared" si="1"/>
        <v>0</v>
      </c>
      <c r="O30" s="40">
        <f>I30+J30</f>
        <v>79646.95</v>
      </c>
      <c r="Q30" s="41"/>
    </row>
    <row r="31" spans="1:19"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60" orientation="landscape" r:id="rId1"/>
  <rowBreaks count="1" manualBreakCount="1">
    <brk id="25"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tabSelected="1" zoomScale="60" zoomScaleNormal="60" workbookViewId="0">
      <selection activeCell="W7" sqref="W7"/>
    </sheetView>
  </sheetViews>
  <sheetFormatPr defaultColWidth="9.140625" defaultRowHeight="12.75" x14ac:dyDescent="0.2"/>
  <cols>
    <col min="1" max="1" width="20.7109375" style="80" customWidth="1"/>
    <col min="2" max="2" width="22.42578125" style="80" customWidth="1"/>
    <col min="3" max="3" width="9.85546875" style="77" customWidth="1"/>
    <col min="4" max="4" width="9.28515625" style="77" bestFit="1" customWidth="1"/>
    <col min="5" max="5" width="9.85546875" style="77" customWidth="1"/>
    <col min="6" max="6" width="30.28515625" style="77" customWidth="1"/>
    <col min="7" max="7" width="9.28515625" style="77" bestFit="1" customWidth="1"/>
    <col min="8" max="8" width="15" style="81" customWidth="1"/>
    <col min="9" max="9" width="9.85546875" style="77" customWidth="1"/>
    <col min="10" max="10" width="12.42578125" style="77" customWidth="1"/>
    <col min="11" max="11" width="10.5703125" style="77" bestFit="1" customWidth="1"/>
    <col min="12" max="12" width="10.85546875" style="77" bestFit="1" customWidth="1"/>
    <col min="13" max="13" width="10.5703125" style="77" bestFit="1" customWidth="1"/>
    <col min="14" max="14" width="10.85546875" style="77" bestFit="1" customWidth="1"/>
    <col min="15" max="15" width="9.42578125" style="77" bestFit="1" customWidth="1"/>
    <col min="16" max="16" width="100" style="77" customWidth="1"/>
    <col min="17" max="16384" width="9.140625" style="77"/>
  </cols>
  <sheetData>
    <row r="1" spans="1:16" ht="19.5" thickBot="1" x14ac:dyDescent="0.35">
      <c r="A1" s="336" t="s">
        <v>319</v>
      </c>
      <c r="B1" s="337"/>
      <c r="C1" s="337"/>
      <c r="D1" s="337"/>
      <c r="E1" s="337"/>
      <c r="F1" s="337"/>
      <c r="G1" s="337"/>
      <c r="H1" s="337"/>
      <c r="I1" s="337"/>
      <c r="J1" s="337"/>
      <c r="K1" s="337"/>
      <c r="L1" s="337"/>
      <c r="M1" s="337"/>
      <c r="N1" s="337"/>
      <c r="O1" s="337"/>
      <c r="P1" s="337"/>
    </row>
    <row r="2" spans="1:16" ht="24.75" customHeight="1" thickBot="1" x14ac:dyDescent="0.25">
      <c r="A2" s="338" t="s">
        <v>30</v>
      </c>
      <c r="B2" s="340" t="s">
        <v>31</v>
      </c>
      <c r="C2" s="342" t="s">
        <v>33</v>
      </c>
      <c r="D2" s="343"/>
      <c r="E2" s="343"/>
      <c r="F2" s="344"/>
      <c r="G2" s="342" t="s">
        <v>51</v>
      </c>
      <c r="H2" s="343"/>
      <c r="I2" s="343"/>
      <c r="J2" s="343"/>
      <c r="K2" s="345" t="s">
        <v>52</v>
      </c>
      <c r="L2" s="346"/>
      <c r="M2" s="346"/>
      <c r="N2" s="346"/>
      <c r="O2" s="347"/>
      <c r="P2" s="348" t="s">
        <v>53</v>
      </c>
    </row>
    <row r="3" spans="1:16" ht="55.5" customHeight="1" x14ac:dyDescent="0.2">
      <c r="A3" s="339"/>
      <c r="B3" s="341"/>
      <c r="C3" s="331" t="s">
        <v>16</v>
      </c>
      <c r="D3" s="78" t="s">
        <v>36</v>
      </c>
      <c r="E3" s="78" t="s">
        <v>37</v>
      </c>
      <c r="F3" s="331" t="s">
        <v>38</v>
      </c>
      <c r="G3" s="331" t="s">
        <v>54</v>
      </c>
      <c r="H3" s="350" t="s">
        <v>55</v>
      </c>
      <c r="I3" s="331" t="s">
        <v>56</v>
      </c>
      <c r="J3" s="331" t="s">
        <v>57</v>
      </c>
      <c r="K3" s="331" t="s">
        <v>58</v>
      </c>
      <c r="L3" s="331" t="s">
        <v>59</v>
      </c>
      <c r="M3" s="331" t="s">
        <v>60</v>
      </c>
      <c r="N3" s="331" t="s">
        <v>61</v>
      </c>
      <c r="O3" s="331" t="s">
        <v>273</v>
      </c>
      <c r="P3" s="349"/>
    </row>
    <row r="4" spans="1:16" ht="51.75" customHeight="1" x14ac:dyDescent="0.2">
      <c r="A4" s="339"/>
      <c r="B4" s="341"/>
      <c r="C4" s="332"/>
      <c r="D4" s="332" t="s">
        <v>39</v>
      </c>
      <c r="E4" s="332" t="s">
        <v>40</v>
      </c>
      <c r="F4" s="332"/>
      <c r="G4" s="332"/>
      <c r="H4" s="351"/>
      <c r="I4" s="332"/>
      <c r="J4" s="332"/>
      <c r="K4" s="332"/>
      <c r="L4" s="332"/>
      <c r="M4" s="332"/>
      <c r="N4" s="332"/>
      <c r="O4" s="332"/>
      <c r="P4" s="349"/>
    </row>
    <row r="5" spans="1:16" ht="18" customHeight="1" thickBot="1" x14ac:dyDescent="0.25">
      <c r="A5" s="339"/>
      <c r="B5" s="341"/>
      <c r="C5" s="332"/>
      <c r="D5" s="332"/>
      <c r="E5" s="332"/>
      <c r="F5" s="332"/>
      <c r="G5" s="332"/>
      <c r="H5" s="351"/>
      <c r="I5" s="332"/>
      <c r="J5" s="332"/>
      <c r="K5" s="332"/>
      <c r="L5" s="332"/>
      <c r="M5" s="332"/>
      <c r="N5" s="332"/>
      <c r="O5" s="332"/>
      <c r="P5" s="349"/>
    </row>
    <row r="6" spans="1:16" ht="234" customHeight="1" thickBot="1" x14ac:dyDescent="0.25">
      <c r="A6" s="82" t="s">
        <v>64</v>
      </c>
      <c r="B6" s="83" t="s">
        <v>63</v>
      </c>
      <c r="C6" s="210" t="s">
        <v>21</v>
      </c>
      <c r="D6" s="211" t="s">
        <v>206</v>
      </c>
      <c r="E6" s="210" t="s">
        <v>200</v>
      </c>
      <c r="F6" s="212" t="s">
        <v>207</v>
      </c>
      <c r="G6" s="210" t="s">
        <v>65</v>
      </c>
      <c r="H6" s="187" t="s">
        <v>66</v>
      </c>
      <c r="I6" s="210" t="s">
        <v>68</v>
      </c>
      <c r="J6" s="210" t="s">
        <v>67</v>
      </c>
      <c r="K6" s="210">
        <v>0</v>
      </c>
      <c r="L6" s="213">
        <v>42005</v>
      </c>
      <c r="M6" s="210">
        <v>1</v>
      </c>
      <c r="N6" s="213">
        <v>45291</v>
      </c>
      <c r="O6" s="210">
        <v>0</v>
      </c>
      <c r="P6" s="214" t="s">
        <v>329</v>
      </c>
    </row>
    <row r="7" spans="1:16" ht="249" customHeight="1" thickBot="1" x14ac:dyDescent="0.25">
      <c r="A7" s="84" t="s">
        <v>64</v>
      </c>
      <c r="B7" s="85" t="s">
        <v>63</v>
      </c>
      <c r="C7" s="188" t="s">
        <v>21</v>
      </c>
      <c r="D7" s="215" t="s">
        <v>206</v>
      </c>
      <c r="E7" s="188" t="s">
        <v>200</v>
      </c>
      <c r="F7" s="216" t="s">
        <v>207</v>
      </c>
      <c r="G7" s="188" t="s">
        <v>69</v>
      </c>
      <c r="H7" s="189" t="s">
        <v>70</v>
      </c>
      <c r="I7" s="188" t="s">
        <v>71</v>
      </c>
      <c r="J7" s="188" t="s">
        <v>67</v>
      </c>
      <c r="K7" s="188">
        <v>0</v>
      </c>
      <c r="L7" s="190">
        <v>42005</v>
      </c>
      <c r="M7" s="188">
        <v>1</v>
      </c>
      <c r="N7" s="190">
        <v>45291</v>
      </c>
      <c r="O7" s="188" t="s">
        <v>322</v>
      </c>
      <c r="P7" s="209" t="s">
        <v>330</v>
      </c>
    </row>
    <row r="8" spans="1:16" ht="219.75" customHeight="1" thickBot="1" x14ac:dyDescent="0.25">
      <c r="A8" s="84" t="s">
        <v>64</v>
      </c>
      <c r="B8" s="85" t="s">
        <v>63</v>
      </c>
      <c r="C8" s="188" t="s">
        <v>21</v>
      </c>
      <c r="D8" s="215" t="s">
        <v>206</v>
      </c>
      <c r="E8" s="188" t="s">
        <v>200</v>
      </c>
      <c r="F8" s="216" t="s">
        <v>207</v>
      </c>
      <c r="G8" s="188" t="s">
        <v>72</v>
      </c>
      <c r="H8" s="189" t="s">
        <v>73</v>
      </c>
      <c r="I8" s="188" t="s">
        <v>74</v>
      </c>
      <c r="J8" s="188" t="s">
        <v>67</v>
      </c>
      <c r="K8" s="188">
        <v>0</v>
      </c>
      <c r="L8" s="190">
        <v>42005</v>
      </c>
      <c r="M8" s="188">
        <v>2</v>
      </c>
      <c r="N8" s="190">
        <v>45291</v>
      </c>
      <c r="O8" s="188" t="s">
        <v>322</v>
      </c>
      <c r="P8" s="209" t="s">
        <v>323</v>
      </c>
    </row>
    <row r="9" spans="1:16" ht="219" customHeight="1" thickBot="1" x14ac:dyDescent="0.25">
      <c r="A9" s="84" t="s">
        <v>64</v>
      </c>
      <c r="B9" s="85" t="s">
        <v>63</v>
      </c>
      <c r="C9" s="188" t="s">
        <v>21</v>
      </c>
      <c r="D9" s="215" t="s">
        <v>206</v>
      </c>
      <c r="E9" s="188" t="s">
        <v>200</v>
      </c>
      <c r="F9" s="216" t="s">
        <v>207</v>
      </c>
      <c r="G9" s="188" t="s">
        <v>75</v>
      </c>
      <c r="H9" s="189" t="s">
        <v>76</v>
      </c>
      <c r="I9" s="188" t="s">
        <v>77</v>
      </c>
      <c r="J9" s="188" t="s">
        <v>67</v>
      </c>
      <c r="K9" s="188">
        <v>0</v>
      </c>
      <c r="L9" s="190">
        <v>42005</v>
      </c>
      <c r="M9" s="188">
        <v>15</v>
      </c>
      <c r="N9" s="190">
        <v>45291</v>
      </c>
      <c r="O9" s="188" t="s">
        <v>322</v>
      </c>
      <c r="P9" s="209" t="s">
        <v>327</v>
      </c>
    </row>
    <row r="10" spans="1:16" ht="78" customHeight="1" thickBot="1" x14ac:dyDescent="0.25">
      <c r="A10" s="84" t="s">
        <v>64</v>
      </c>
      <c r="B10" s="85" t="s">
        <v>63</v>
      </c>
      <c r="C10" s="188" t="s">
        <v>21</v>
      </c>
      <c r="D10" s="215" t="s">
        <v>206</v>
      </c>
      <c r="E10" s="188" t="s">
        <v>200</v>
      </c>
      <c r="F10" s="216" t="s">
        <v>207</v>
      </c>
      <c r="G10" s="188" t="s">
        <v>79</v>
      </c>
      <c r="H10" s="189" t="s">
        <v>78</v>
      </c>
      <c r="I10" s="188" t="s">
        <v>80</v>
      </c>
      <c r="J10" s="188" t="s">
        <v>81</v>
      </c>
      <c r="K10" s="188">
        <v>7</v>
      </c>
      <c r="L10" s="190">
        <v>40908</v>
      </c>
      <c r="M10" s="188">
        <v>10</v>
      </c>
      <c r="N10" s="190">
        <v>45291</v>
      </c>
      <c r="O10" s="188" t="s">
        <v>322</v>
      </c>
      <c r="P10" s="217" t="s">
        <v>208</v>
      </c>
    </row>
    <row r="11" spans="1:16" ht="83.25" customHeight="1" thickBot="1" x14ac:dyDescent="0.25">
      <c r="A11" s="86" t="s">
        <v>64</v>
      </c>
      <c r="B11" s="87" t="s">
        <v>63</v>
      </c>
      <c r="C11" s="218" t="s">
        <v>21</v>
      </c>
      <c r="D11" s="219" t="s">
        <v>206</v>
      </c>
      <c r="E11" s="218" t="s">
        <v>200</v>
      </c>
      <c r="F11" s="220" t="s">
        <v>207</v>
      </c>
      <c r="G11" s="218" t="s">
        <v>83</v>
      </c>
      <c r="H11" s="221" t="s">
        <v>82</v>
      </c>
      <c r="I11" s="218" t="s">
        <v>80</v>
      </c>
      <c r="J11" s="218" t="s">
        <v>81</v>
      </c>
      <c r="K11" s="218">
        <v>30</v>
      </c>
      <c r="L11" s="222">
        <v>40908</v>
      </c>
      <c r="M11" s="218">
        <v>35</v>
      </c>
      <c r="N11" s="222">
        <v>45291</v>
      </c>
      <c r="O11" s="218" t="s">
        <v>322</v>
      </c>
      <c r="P11" s="223" t="s">
        <v>208</v>
      </c>
    </row>
    <row r="12" spans="1:16" ht="210.75" customHeight="1" thickBot="1" x14ac:dyDescent="0.25">
      <c r="A12" s="82" t="s">
        <v>84</v>
      </c>
      <c r="B12" s="83" t="s">
        <v>185</v>
      </c>
      <c r="C12" s="210" t="s">
        <v>21</v>
      </c>
      <c r="D12" s="211" t="s">
        <v>206</v>
      </c>
      <c r="E12" s="210" t="s">
        <v>200</v>
      </c>
      <c r="F12" s="212" t="s">
        <v>207</v>
      </c>
      <c r="G12" s="210" t="s">
        <v>85</v>
      </c>
      <c r="H12" s="187" t="s">
        <v>86</v>
      </c>
      <c r="I12" s="210" t="s">
        <v>89</v>
      </c>
      <c r="J12" s="210" t="s">
        <v>67</v>
      </c>
      <c r="K12" s="210">
        <v>0</v>
      </c>
      <c r="L12" s="213">
        <v>42005</v>
      </c>
      <c r="M12" s="210">
        <v>1</v>
      </c>
      <c r="N12" s="213">
        <v>45291</v>
      </c>
      <c r="O12" s="210" t="s">
        <v>322</v>
      </c>
      <c r="P12" s="214" t="s">
        <v>324</v>
      </c>
    </row>
    <row r="13" spans="1:16" ht="94.5" customHeight="1" thickBot="1" x14ac:dyDescent="0.25">
      <c r="A13" s="88" t="s">
        <v>84</v>
      </c>
      <c r="B13" s="89" t="s">
        <v>185</v>
      </c>
      <c r="C13" s="218" t="s">
        <v>21</v>
      </c>
      <c r="D13" s="219" t="s">
        <v>206</v>
      </c>
      <c r="E13" s="218" t="s">
        <v>200</v>
      </c>
      <c r="F13" s="220" t="s">
        <v>207</v>
      </c>
      <c r="G13" s="218" t="s">
        <v>87</v>
      </c>
      <c r="H13" s="221" t="s">
        <v>88</v>
      </c>
      <c r="I13" s="218" t="s">
        <v>90</v>
      </c>
      <c r="J13" s="218" t="s">
        <v>81</v>
      </c>
      <c r="K13" s="218">
        <v>108</v>
      </c>
      <c r="L13" s="222">
        <v>42004</v>
      </c>
      <c r="M13" s="218">
        <v>48</v>
      </c>
      <c r="N13" s="222">
        <v>45291</v>
      </c>
      <c r="O13" s="218" t="s">
        <v>322</v>
      </c>
      <c r="P13" s="224" t="s">
        <v>208</v>
      </c>
    </row>
    <row r="14" spans="1:16" ht="355.5" customHeight="1" thickBot="1" x14ac:dyDescent="0.25">
      <c r="A14" s="90" t="s">
        <v>91</v>
      </c>
      <c r="B14" s="91" t="s">
        <v>184</v>
      </c>
      <c r="C14" s="210" t="s">
        <v>21</v>
      </c>
      <c r="D14" s="211" t="s">
        <v>206</v>
      </c>
      <c r="E14" s="210" t="s">
        <v>200</v>
      </c>
      <c r="F14" s="212" t="s">
        <v>207</v>
      </c>
      <c r="G14" s="210" t="s">
        <v>93</v>
      </c>
      <c r="H14" s="187" t="s">
        <v>92</v>
      </c>
      <c r="I14" s="210" t="s">
        <v>94</v>
      </c>
      <c r="J14" s="210" t="s">
        <v>67</v>
      </c>
      <c r="K14" s="210">
        <v>0</v>
      </c>
      <c r="L14" s="213">
        <v>42005</v>
      </c>
      <c r="M14" s="210">
        <v>2</v>
      </c>
      <c r="N14" s="213">
        <v>45291</v>
      </c>
      <c r="O14" s="210" t="s">
        <v>322</v>
      </c>
      <c r="P14" s="214" t="s">
        <v>334</v>
      </c>
    </row>
    <row r="15" spans="1:16" ht="390.75" thickBot="1" x14ac:dyDescent="0.25">
      <c r="A15" s="90" t="s">
        <v>91</v>
      </c>
      <c r="B15" s="91" t="s">
        <v>184</v>
      </c>
      <c r="C15" s="188" t="s">
        <v>21</v>
      </c>
      <c r="D15" s="215" t="s">
        <v>206</v>
      </c>
      <c r="E15" s="188" t="s">
        <v>200</v>
      </c>
      <c r="F15" s="216" t="s">
        <v>207</v>
      </c>
      <c r="G15" s="188" t="s">
        <v>95</v>
      </c>
      <c r="H15" s="189" t="s">
        <v>96</v>
      </c>
      <c r="I15" s="188" t="s">
        <v>97</v>
      </c>
      <c r="J15" s="188" t="s">
        <v>67</v>
      </c>
      <c r="K15" s="188">
        <v>0</v>
      </c>
      <c r="L15" s="190">
        <v>42005</v>
      </c>
      <c r="M15" s="188">
        <v>7</v>
      </c>
      <c r="N15" s="190">
        <v>45291</v>
      </c>
      <c r="O15" s="188">
        <v>0</v>
      </c>
      <c r="P15" s="209" t="s">
        <v>278</v>
      </c>
    </row>
    <row r="16" spans="1:16" ht="229.5" customHeight="1" thickBot="1" x14ac:dyDescent="0.25">
      <c r="A16" s="90" t="s">
        <v>91</v>
      </c>
      <c r="B16" s="91" t="s">
        <v>184</v>
      </c>
      <c r="C16" s="188" t="s">
        <v>21</v>
      </c>
      <c r="D16" s="215" t="s">
        <v>206</v>
      </c>
      <c r="E16" s="188" t="s">
        <v>200</v>
      </c>
      <c r="F16" s="216" t="s">
        <v>207</v>
      </c>
      <c r="G16" s="188" t="s">
        <v>98</v>
      </c>
      <c r="H16" s="189" t="s">
        <v>99</v>
      </c>
      <c r="I16" s="188" t="s">
        <v>100</v>
      </c>
      <c r="J16" s="188" t="s">
        <v>81</v>
      </c>
      <c r="K16" s="188">
        <v>25</v>
      </c>
      <c r="L16" s="190">
        <v>42005</v>
      </c>
      <c r="M16" s="188">
        <v>40</v>
      </c>
      <c r="N16" s="190">
        <v>45291</v>
      </c>
      <c r="O16" s="188" t="s">
        <v>322</v>
      </c>
      <c r="P16" s="209" t="s">
        <v>209</v>
      </c>
    </row>
    <row r="17" spans="1:17" ht="63.75" customHeight="1" thickBot="1" x14ac:dyDescent="0.25">
      <c r="A17" s="90" t="s">
        <v>91</v>
      </c>
      <c r="B17" s="91" t="s">
        <v>184</v>
      </c>
      <c r="C17" s="188" t="s">
        <v>21</v>
      </c>
      <c r="D17" s="215" t="s">
        <v>206</v>
      </c>
      <c r="E17" s="188" t="s">
        <v>200</v>
      </c>
      <c r="F17" s="216" t="s">
        <v>207</v>
      </c>
      <c r="G17" s="188" t="s">
        <v>210</v>
      </c>
      <c r="H17" s="189" t="s">
        <v>211</v>
      </c>
      <c r="I17" s="188" t="s">
        <v>212</v>
      </c>
      <c r="J17" s="188" t="s">
        <v>67</v>
      </c>
      <c r="K17" s="188">
        <v>0</v>
      </c>
      <c r="L17" s="190">
        <v>42005</v>
      </c>
      <c r="M17" s="188">
        <v>2</v>
      </c>
      <c r="N17" s="190">
        <v>45291</v>
      </c>
      <c r="O17" s="188" t="s">
        <v>322</v>
      </c>
      <c r="P17" s="209" t="s">
        <v>213</v>
      </c>
    </row>
    <row r="18" spans="1:17" ht="162" customHeight="1" thickBot="1" x14ac:dyDescent="0.25">
      <c r="A18" s="90" t="s">
        <v>91</v>
      </c>
      <c r="B18" s="91" t="s">
        <v>184</v>
      </c>
      <c r="C18" s="188" t="s">
        <v>21</v>
      </c>
      <c r="D18" s="215" t="s">
        <v>206</v>
      </c>
      <c r="E18" s="188" t="s">
        <v>200</v>
      </c>
      <c r="F18" s="216" t="s">
        <v>207</v>
      </c>
      <c r="G18" s="188" t="s">
        <v>101</v>
      </c>
      <c r="H18" s="189" t="s">
        <v>102</v>
      </c>
      <c r="I18" s="188" t="s">
        <v>105</v>
      </c>
      <c r="J18" s="188" t="s">
        <v>81</v>
      </c>
      <c r="K18" s="188">
        <v>0</v>
      </c>
      <c r="L18" s="190">
        <v>42005</v>
      </c>
      <c r="M18" s="188">
        <v>5.6</v>
      </c>
      <c r="N18" s="190">
        <v>45291</v>
      </c>
      <c r="O18" s="188" t="s">
        <v>322</v>
      </c>
      <c r="P18" s="209" t="s">
        <v>320</v>
      </c>
    </row>
    <row r="19" spans="1:17" ht="149.25" customHeight="1" thickBot="1" x14ac:dyDescent="0.25">
      <c r="A19" s="92" t="s">
        <v>91</v>
      </c>
      <c r="B19" s="93" t="s">
        <v>184</v>
      </c>
      <c r="C19" s="218" t="s">
        <v>21</v>
      </c>
      <c r="D19" s="219" t="s">
        <v>206</v>
      </c>
      <c r="E19" s="218" t="s">
        <v>200</v>
      </c>
      <c r="F19" s="220" t="s">
        <v>207</v>
      </c>
      <c r="G19" s="218" t="s">
        <v>104</v>
      </c>
      <c r="H19" s="221" t="s">
        <v>103</v>
      </c>
      <c r="I19" s="218" t="s">
        <v>214</v>
      </c>
      <c r="J19" s="218" t="s">
        <v>81</v>
      </c>
      <c r="K19" s="218">
        <v>0</v>
      </c>
      <c r="L19" s="222">
        <v>42005</v>
      </c>
      <c r="M19" s="218">
        <v>7</v>
      </c>
      <c r="N19" s="222">
        <v>45291</v>
      </c>
      <c r="O19" s="218" t="s">
        <v>322</v>
      </c>
      <c r="P19" s="225" t="s">
        <v>279</v>
      </c>
    </row>
    <row r="20" spans="1:17" ht="303" customHeight="1" thickBot="1" x14ac:dyDescent="0.25">
      <c r="A20" s="90" t="s">
        <v>106</v>
      </c>
      <c r="B20" s="91" t="s">
        <v>186</v>
      </c>
      <c r="C20" s="210" t="s">
        <v>21</v>
      </c>
      <c r="D20" s="211" t="s">
        <v>206</v>
      </c>
      <c r="E20" s="210" t="s">
        <v>200</v>
      </c>
      <c r="F20" s="212" t="s">
        <v>207</v>
      </c>
      <c r="G20" s="210" t="s">
        <v>108</v>
      </c>
      <c r="H20" s="187" t="s">
        <v>107</v>
      </c>
      <c r="I20" s="210" t="s">
        <v>109</v>
      </c>
      <c r="J20" s="210" t="s">
        <v>110</v>
      </c>
      <c r="K20" s="210">
        <v>0</v>
      </c>
      <c r="L20" s="213">
        <v>42005</v>
      </c>
      <c r="M20" s="210">
        <v>2</v>
      </c>
      <c r="N20" s="213">
        <v>45291</v>
      </c>
      <c r="O20" s="210">
        <v>0</v>
      </c>
      <c r="P20" s="214" t="s">
        <v>331</v>
      </c>
    </row>
    <row r="21" spans="1:17" ht="300.75" customHeight="1" thickBot="1" x14ac:dyDescent="0.25">
      <c r="A21" s="94" t="s">
        <v>106</v>
      </c>
      <c r="B21" s="95" t="s">
        <v>186</v>
      </c>
      <c r="C21" s="188" t="s">
        <v>21</v>
      </c>
      <c r="D21" s="215" t="s">
        <v>206</v>
      </c>
      <c r="E21" s="188" t="s">
        <v>200</v>
      </c>
      <c r="F21" s="216" t="s">
        <v>207</v>
      </c>
      <c r="G21" s="188" t="s">
        <v>111</v>
      </c>
      <c r="H21" s="189" t="s">
        <v>112</v>
      </c>
      <c r="I21" s="188" t="s">
        <v>109</v>
      </c>
      <c r="J21" s="188" t="s">
        <v>110</v>
      </c>
      <c r="K21" s="188">
        <v>0</v>
      </c>
      <c r="L21" s="190">
        <v>42005</v>
      </c>
      <c r="M21" s="188">
        <v>5</v>
      </c>
      <c r="N21" s="190">
        <v>45291</v>
      </c>
      <c r="O21" s="188">
        <v>0</v>
      </c>
      <c r="P21" s="209" t="s">
        <v>332</v>
      </c>
    </row>
    <row r="22" spans="1:17" ht="198" customHeight="1" thickBot="1" x14ac:dyDescent="0.25">
      <c r="A22" s="94" t="s">
        <v>106</v>
      </c>
      <c r="B22" s="95" t="s">
        <v>186</v>
      </c>
      <c r="C22" s="188" t="s">
        <v>21</v>
      </c>
      <c r="D22" s="215" t="s">
        <v>206</v>
      </c>
      <c r="E22" s="188" t="s">
        <v>200</v>
      </c>
      <c r="F22" s="216" t="s">
        <v>207</v>
      </c>
      <c r="G22" s="188" t="s">
        <v>114</v>
      </c>
      <c r="H22" s="189" t="s">
        <v>113</v>
      </c>
      <c r="I22" s="188" t="s">
        <v>115</v>
      </c>
      <c r="J22" s="188" t="s">
        <v>110</v>
      </c>
      <c r="K22" s="188">
        <v>0</v>
      </c>
      <c r="L22" s="190">
        <v>42005</v>
      </c>
      <c r="M22" s="188">
        <v>1</v>
      </c>
      <c r="N22" s="190">
        <v>45291</v>
      </c>
      <c r="O22" s="188">
        <v>0</v>
      </c>
      <c r="P22" s="209" t="s">
        <v>215</v>
      </c>
    </row>
    <row r="23" spans="1:17" ht="131.25" customHeight="1" thickBot="1" x14ac:dyDescent="0.25">
      <c r="A23" s="94" t="s">
        <v>106</v>
      </c>
      <c r="B23" s="95" t="s">
        <v>186</v>
      </c>
      <c r="C23" s="188" t="s">
        <v>21</v>
      </c>
      <c r="D23" s="215" t="s">
        <v>206</v>
      </c>
      <c r="E23" s="188" t="s">
        <v>200</v>
      </c>
      <c r="F23" s="216" t="s">
        <v>207</v>
      </c>
      <c r="G23" s="226" t="s">
        <v>216</v>
      </c>
      <c r="H23" s="227" t="s">
        <v>217</v>
      </c>
      <c r="I23" s="226" t="s">
        <v>115</v>
      </c>
      <c r="J23" s="226" t="s">
        <v>67</v>
      </c>
      <c r="K23" s="226">
        <v>0</v>
      </c>
      <c r="L23" s="190">
        <v>42005</v>
      </c>
      <c r="M23" s="226">
        <v>1</v>
      </c>
      <c r="N23" s="228">
        <v>45291</v>
      </c>
      <c r="O23" s="226" t="s">
        <v>322</v>
      </c>
      <c r="P23" s="209" t="s">
        <v>321</v>
      </c>
    </row>
    <row r="24" spans="1:17" ht="131.25" customHeight="1" thickBot="1" x14ac:dyDescent="0.25">
      <c r="A24" s="94" t="s">
        <v>106</v>
      </c>
      <c r="B24" s="95" t="s">
        <v>186</v>
      </c>
      <c r="C24" s="188" t="s">
        <v>21</v>
      </c>
      <c r="D24" s="215" t="s">
        <v>206</v>
      </c>
      <c r="E24" s="188" t="s">
        <v>200</v>
      </c>
      <c r="F24" s="216" t="s">
        <v>207</v>
      </c>
      <c r="G24" s="188" t="s">
        <v>116</v>
      </c>
      <c r="H24" s="189" t="s">
        <v>117</v>
      </c>
      <c r="I24" s="188" t="s">
        <v>115</v>
      </c>
      <c r="J24" s="188" t="s">
        <v>110</v>
      </c>
      <c r="K24" s="188">
        <v>0</v>
      </c>
      <c r="L24" s="190">
        <v>42005</v>
      </c>
      <c r="M24" s="188">
        <v>1</v>
      </c>
      <c r="N24" s="190">
        <v>45291</v>
      </c>
      <c r="O24" s="188" t="s">
        <v>322</v>
      </c>
      <c r="P24" s="209" t="s">
        <v>321</v>
      </c>
    </row>
    <row r="25" spans="1:17" ht="102.75" customHeight="1" thickBot="1" x14ac:dyDescent="0.25">
      <c r="A25" s="94" t="s">
        <v>106</v>
      </c>
      <c r="B25" s="95" t="s">
        <v>186</v>
      </c>
      <c r="C25" s="188" t="s">
        <v>21</v>
      </c>
      <c r="D25" s="215" t="s">
        <v>206</v>
      </c>
      <c r="E25" s="188" t="s">
        <v>200</v>
      </c>
      <c r="F25" s="216" t="s">
        <v>207</v>
      </c>
      <c r="G25" s="188" t="s">
        <v>119</v>
      </c>
      <c r="H25" s="189" t="s">
        <v>118</v>
      </c>
      <c r="I25" s="188" t="s">
        <v>120</v>
      </c>
      <c r="J25" s="188" t="s">
        <v>110</v>
      </c>
      <c r="K25" s="188">
        <v>0</v>
      </c>
      <c r="L25" s="190">
        <v>42005</v>
      </c>
      <c r="M25" s="188">
        <v>7656</v>
      </c>
      <c r="N25" s="190">
        <v>45291</v>
      </c>
      <c r="O25" s="188" t="s">
        <v>322</v>
      </c>
      <c r="P25" s="217" t="s">
        <v>218</v>
      </c>
    </row>
    <row r="26" spans="1:17" ht="100.5" customHeight="1" thickBot="1" x14ac:dyDescent="0.25">
      <c r="A26" s="96" t="s">
        <v>106</v>
      </c>
      <c r="B26" s="97" t="s">
        <v>186</v>
      </c>
      <c r="C26" s="218" t="s">
        <v>21</v>
      </c>
      <c r="D26" s="219" t="s">
        <v>206</v>
      </c>
      <c r="E26" s="218" t="s">
        <v>200</v>
      </c>
      <c r="F26" s="220" t="s">
        <v>207</v>
      </c>
      <c r="G26" s="218" t="s">
        <v>122</v>
      </c>
      <c r="H26" s="221" t="s">
        <v>121</v>
      </c>
      <c r="I26" s="218" t="s">
        <v>80</v>
      </c>
      <c r="J26" s="218" t="s">
        <v>123</v>
      </c>
      <c r="K26" s="218">
        <v>28.5</v>
      </c>
      <c r="L26" s="222">
        <v>41274</v>
      </c>
      <c r="M26" s="218">
        <v>22</v>
      </c>
      <c r="N26" s="222">
        <v>45291</v>
      </c>
      <c r="O26" s="218" t="s">
        <v>322</v>
      </c>
      <c r="P26" s="224" t="s">
        <v>208</v>
      </c>
    </row>
    <row r="27" spans="1:17" ht="213.75" customHeight="1" thickBot="1" x14ac:dyDescent="0.25">
      <c r="A27" s="208" t="s">
        <v>124</v>
      </c>
      <c r="B27" s="207" t="s">
        <v>187</v>
      </c>
      <c r="C27" s="210" t="s">
        <v>21</v>
      </c>
      <c r="D27" s="211" t="s">
        <v>206</v>
      </c>
      <c r="E27" s="210" t="s">
        <v>200</v>
      </c>
      <c r="F27" s="212" t="s">
        <v>207</v>
      </c>
      <c r="G27" s="210" t="s">
        <v>125</v>
      </c>
      <c r="H27" s="187" t="s">
        <v>126</v>
      </c>
      <c r="I27" s="210" t="s">
        <v>127</v>
      </c>
      <c r="J27" s="210" t="s">
        <v>110</v>
      </c>
      <c r="K27" s="210">
        <v>0</v>
      </c>
      <c r="L27" s="213">
        <v>42005</v>
      </c>
      <c r="M27" s="210">
        <v>150</v>
      </c>
      <c r="N27" s="213">
        <v>45291</v>
      </c>
      <c r="O27" s="210" t="s">
        <v>322</v>
      </c>
      <c r="P27" s="214" t="s">
        <v>325</v>
      </c>
    </row>
    <row r="28" spans="1:17" ht="319.5" customHeight="1" thickBot="1" x14ac:dyDescent="0.25">
      <c r="A28" s="252" t="s">
        <v>124</v>
      </c>
      <c r="B28" s="249" t="s">
        <v>187</v>
      </c>
      <c r="C28" s="188" t="s">
        <v>21</v>
      </c>
      <c r="D28" s="215" t="s">
        <v>206</v>
      </c>
      <c r="E28" s="188" t="s">
        <v>200</v>
      </c>
      <c r="F28" s="216" t="s">
        <v>207</v>
      </c>
      <c r="G28" s="188" t="s">
        <v>129</v>
      </c>
      <c r="H28" s="189" t="s">
        <v>128</v>
      </c>
      <c r="I28" s="188" t="s">
        <v>130</v>
      </c>
      <c r="J28" s="188" t="s">
        <v>110</v>
      </c>
      <c r="K28" s="188">
        <v>0</v>
      </c>
      <c r="L28" s="190">
        <v>42005</v>
      </c>
      <c r="M28" s="188">
        <v>4</v>
      </c>
      <c r="N28" s="190">
        <v>45291</v>
      </c>
      <c r="O28" s="188">
        <v>1</v>
      </c>
      <c r="P28" s="209" t="s">
        <v>333</v>
      </c>
    </row>
    <row r="29" spans="1:17" ht="78" customHeight="1" thickBot="1" x14ac:dyDescent="0.25">
      <c r="A29" s="252" t="s">
        <v>124</v>
      </c>
      <c r="B29" s="249" t="s">
        <v>187</v>
      </c>
      <c r="C29" s="188" t="s">
        <v>21</v>
      </c>
      <c r="D29" s="215" t="s">
        <v>206</v>
      </c>
      <c r="E29" s="188" t="s">
        <v>200</v>
      </c>
      <c r="F29" s="216" t="s">
        <v>207</v>
      </c>
      <c r="G29" s="188" t="s">
        <v>131</v>
      </c>
      <c r="H29" s="189" t="s">
        <v>132</v>
      </c>
      <c r="I29" s="188" t="s">
        <v>80</v>
      </c>
      <c r="J29" s="188" t="s">
        <v>123</v>
      </c>
      <c r="K29" s="188">
        <v>5.4</v>
      </c>
      <c r="L29" s="190">
        <v>41639</v>
      </c>
      <c r="M29" s="229">
        <v>5</v>
      </c>
      <c r="N29" s="190">
        <v>45291</v>
      </c>
      <c r="O29" s="188" t="s">
        <v>322</v>
      </c>
      <c r="P29" s="217" t="s">
        <v>208</v>
      </c>
    </row>
    <row r="30" spans="1:17" ht="82.5" customHeight="1" thickBot="1" x14ac:dyDescent="0.25">
      <c r="A30" s="253" t="s">
        <v>124</v>
      </c>
      <c r="B30" s="250" t="s">
        <v>187</v>
      </c>
      <c r="C30" s="218" t="s">
        <v>21</v>
      </c>
      <c r="D30" s="219" t="s">
        <v>206</v>
      </c>
      <c r="E30" s="218" t="s">
        <v>200</v>
      </c>
      <c r="F30" s="220" t="s">
        <v>207</v>
      </c>
      <c r="G30" s="218" t="s">
        <v>133</v>
      </c>
      <c r="H30" s="221" t="s">
        <v>134</v>
      </c>
      <c r="I30" s="218" t="s">
        <v>80</v>
      </c>
      <c r="J30" s="230" t="s">
        <v>123</v>
      </c>
      <c r="K30" s="231">
        <v>77.3</v>
      </c>
      <c r="L30" s="232">
        <v>41639</v>
      </c>
      <c r="M30" s="233">
        <v>90.5</v>
      </c>
      <c r="N30" s="232">
        <v>45291</v>
      </c>
      <c r="O30" s="231" t="s">
        <v>322</v>
      </c>
      <c r="P30" s="234" t="s">
        <v>208</v>
      </c>
    </row>
    <row r="31" spans="1:17" ht="82.5" customHeight="1" thickBot="1" x14ac:dyDescent="0.25">
      <c r="A31" s="253" t="s">
        <v>124</v>
      </c>
      <c r="B31" s="250" t="s">
        <v>187</v>
      </c>
      <c r="C31" s="218" t="s">
        <v>21</v>
      </c>
      <c r="D31" s="219" t="s">
        <v>317</v>
      </c>
      <c r="E31" s="218" t="s">
        <v>200</v>
      </c>
      <c r="F31" s="220" t="s">
        <v>207</v>
      </c>
      <c r="G31" s="218">
        <v>50120</v>
      </c>
      <c r="H31" s="221" t="s">
        <v>318</v>
      </c>
      <c r="I31" s="235" t="s">
        <v>127</v>
      </c>
      <c r="J31" s="236" t="s">
        <v>123</v>
      </c>
      <c r="K31" s="237">
        <v>0</v>
      </c>
      <c r="L31" s="238">
        <v>41639</v>
      </c>
      <c r="M31" s="237">
        <v>6</v>
      </c>
      <c r="N31" s="239">
        <v>45291</v>
      </c>
      <c r="O31" s="237">
        <v>0</v>
      </c>
      <c r="P31" s="240" t="s">
        <v>326</v>
      </c>
      <c r="Q31" s="206"/>
    </row>
    <row r="32" spans="1:17" ht="184.5" customHeight="1" thickBot="1" x14ac:dyDescent="0.25">
      <c r="A32" s="254" t="s">
        <v>135</v>
      </c>
      <c r="B32" s="251" t="s">
        <v>188</v>
      </c>
      <c r="C32" s="188" t="s">
        <v>21</v>
      </c>
      <c r="D32" s="215" t="s">
        <v>206</v>
      </c>
      <c r="E32" s="188" t="s">
        <v>200</v>
      </c>
      <c r="F32" s="216" t="s">
        <v>207</v>
      </c>
      <c r="G32" s="188" t="s">
        <v>136</v>
      </c>
      <c r="H32" s="189" t="s">
        <v>137</v>
      </c>
      <c r="I32" s="188" t="s">
        <v>138</v>
      </c>
      <c r="J32" s="241" t="s">
        <v>110</v>
      </c>
      <c r="K32" s="242">
        <v>0</v>
      </c>
      <c r="L32" s="243">
        <v>42005</v>
      </c>
      <c r="M32" s="242">
        <v>1</v>
      </c>
      <c r="N32" s="244">
        <v>45291</v>
      </c>
      <c r="O32" s="242">
        <v>0</v>
      </c>
      <c r="P32" s="245" t="s">
        <v>328</v>
      </c>
    </row>
    <row r="33" spans="1:16" ht="113.25" customHeight="1" thickBot="1" x14ac:dyDescent="0.25">
      <c r="A33" s="255" t="s">
        <v>135</v>
      </c>
      <c r="B33" s="249" t="s">
        <v>188</v>
      </c>
      <c r="C33" s="188" t="s">
        <v>21</v>
      </c>
      <c r="D33" s="215" t="s">
        <v>206</v>
      </c>
      <c r="E33" s="188" t="s">
        <v>200</v>
      </c>
      <c r="F33" s="216" t="s">
        <v>207</v>
      </c>
      <c r="G33" s="188" t="s">
        <v>219</v>
      </c>
      <c r="H33" s="189" t="s">
        <v>220</v>
      </c>
      <c r="I33" s="188" t="s">
        <v>221</v>
      </c>
      <c r="J33" s="188" t="s">
        <v>110</v>
      </c>
      <c r="K33" s="246">
        <v>0</v>
      </c>
      <c r="L33" s="190">
        <v>42005</v>
      </c>
      <c r="M33" s="246">
        <v>30415</v>
      </c>
      <c r="N33" s="190">
        <v>45291</v>
      </c>
      <c r="O33" s="188" t="s">
        <v>322</v>
      </c>
      <c r="P33" s="247" t="s">
        <v>222</v>
      </c>
    </row>
    <row r="34" spans="1:16" ht="100.5" customHeight="1" thickBot="1" x14ac:dyDescent="0.25">
      <c r="A34" s="98" t="s">
        <v>135</v>
      </c>
      <c r="B34" s="249" t="s">
        <v>188</v>
      </c>
      <c r="C34" s="188" t="s">
        <v>21</v>
      </c>
      <c r="D34" s="215" t="s">
        <v>206</v>
      </c>
      <c r="E34" s="188" t="s">
        <v>200</v>
      </c>
      <c r="F34" s="216" t="s">
        <v>207</v>
      </c>
      <c r="G34" s="188" t="s">
        <v>140</v>
      </c>
      <c r="H34" s="189" t="s">
        <v>139</v>
      </c>
      <c r="I34" s="188" t="s">
        <v>141</v>
      </c>
      <c r="J34" s="188" t="s">
        <v>123</v>
      </c>
      <c r="K34" s="246">
        <v>26553793</v>
      </c>
      <c r="L34" s="190">
        <v>41639</v>
      </c>
      <c r="M34" s="246">
        <v>27500000</v>
      </c>
      <c r="N34" s="190">
        <v>45291</v>
      </c>
      <c r="O34" s="188" t="s">
        <v>322</v>
      </c>
      <c r="P34" s="248" t="s">
        <v>223</v>
      </c>
    </row>
    <row r="35" spans="1:16" ht="95.25" customHeight="1" thickBot="1" x14ac:dyDescent="0.25">
      <c r="A35" s="99" t="s">
        <v>143</v>
      </c>
      <c r="B35" s="95" t="s">
        <v>189</v>
      </c>
      <c r="C35" s="183" t="s">
        <v>27</v>
      </c>
      <c r="D35" s="184" t="s">
        <v>283</v>
      </c>
      <c r="E35" s="183" t="s">
        <v>202</v>
      </c>
      <c r="F35" s="191" t="s">
        <v>142</v>
      </c>
      <c r="G35" s="183">
        <v>93701</v>
      </c>
      <c r="H35" s="185" t="s">
        <v>144</v>
      </c>
      <c r="I35" s="183" t="s">
        <v>148</v>
      </c>
      <c r="J35" s="183" t="s">
        <v>110</v>
      </c>
      <c r="K35" s="183">
        <v>0</v>
      </c>
      <c r="L35" s="186">
        <v>42005</v>
      </c>
      <c r="M35" s="183">
        <v>2</v>
      </c>
      <c r="N35" s="186">
        <v>45291</v>
      </c>
      <c r="O35" s="183">
        <v>1</v>
      </c>
      <c r="P35" s="192" t="s">
        <v>62</v>
      </c>
    </row>
    <row r="36" spans="1:16" ht="92.25" customHeight="1" thickBot="1" x14ac:dyDescent="0.25">
      <c r="A36" s="99" t="s">
        <v>143</v>
      </c>
      <c r="B36" s="95" t="s">
        <v>189</v>
      </c>
      <c r="C36" s="183" t="s">
        <v>27</v>
      </c>
      <c r="D36" s="184" t="s">
        <v>283</v>
      </c>
      <c r="E36" s="183" t="s">
        <v>202</v>
      </c>
      <c r="F36" s="191" t="s">
        <v>142</v>
      </c>
      <c r="G36" s="183">
        <v>94800</v>
      </c>
      <c r="H36" s="185" t="s">
        <v>145</v>
      </c>
      <c r="I36" s="183" t="s">
        <v>109</v>
      </c>
      <c r="J36" s="183" t="s">
        <v>123</v>
      </c>
      <c r="K36" s="183">
        <v>0</v>
      </c>
      <c r="L36" s="186">
        <v>42005</v>
      </c>
      <c r="M36" s="183">
        <v>1</v>
      </c>
      <c r="N36" s="186">
        <v>45291</v>
      </c>
      <c r="O36" s="183">
        <v>0</v>
      </c>
      <c r="P36" s="192" t="s">
        <v>62</v>
      </c>
    </row>
    <row r="37" spans="1:16" ht="111.75" customHeight="1" thickBot="1" x14ac:dyDescent="0.25">
      <c r="A37" s="99" t="s">
        <v>143</v>
      </c>
      <c r="B37" s="95" t="s">
        <v>190</v>
      </c>
      <c r="C37" s="183" t="s">
        <v>27</v>
      </c>
      <c r="D37" s="184" t="s">
        <v>283</v>
      </c>
      <c r="E37" s="183" t="s">
        <v>202</v>
      </c>
      <c r="F37" s="193" t="s">
        <v>146</v>
      </c>
      <c r="G37" s="188">
        <v>93701</v>
      </c>
      <c r="H37" s="189" t="s">
        <v>144</v>
      </c>
      <c r="I37" s="188" t="s">
        <v>148</v>
      </c>
      <c r="J37" s="188" t="s">
        <v>110</v>
      </c>
      <c r="K37" s="183">
        <v>0</v>
      </c>
      <c r="L37" s="186">
        <v>42005</v>
      </c>
      <c r="M37" s="183">
        <v>2</v>
      </c>
      <c r="N37" s="186">
        <v>45291</v>
      </c>
      <c r="O37" s="183">
        <v>1</v>
      </c>
      <c r="P37" s="192" t="s">
        <v>62</v>
      </c>
    </row>
    <row r="38" spans="1:16" ht="105.75" customHeight="1" thickBot="1" x14ac:dyDescent="0.25">
      <c r="A38" s="99" t="s">
        <v>143</v>
      </c>
      <c r="B38" s="95" t="s">
        <v>190</v>
      </c>
      <c r="C38" s="183" t="s">
        <v>27</v>
      </c>
      <c r="D38" s="184" t="s">
        <v>283</v>
      </c>
      <c r="E38" s="183" t="s">
        <v>202</v>
      </c>
      <c r="F38" s="193" t="s">
        <v>146</v>
      </c>
      <c r="G38" s="188">
        <v>94302</v>
      </c>
      <c r="H38" s="189" t="s">
        <v>147</v>
      </c>
      <c r="I38" s="188" t="s">
        <v>74</v>
      </c>
      <c r="J38" s="188" t="s">
        <v>123</v>
      </c>
      <c r="K38" s="183">
        <v>0</v>
      </c>
      <c r="L38" s="186">
        <v>42005</v>
      </c>
      <c r="M38" s="183">
        <v>2</v>
      </c>
      <c r="N38" s="186">
        <v>45291</v>
      </c>
      <c r="O38" s="183">
        <v>1</v>
      </c>
      <c r="P38" s="192" t="s">
        <v>62</v>
      </c>
    </row>
    <row r="39" spans="1:16" ht="80.25" customHeight="1" thickBot="1" x14ac:dyDescent="0.25">
      <c r="A39" s="155" t="s">
        <v>150</v>
      </c>
      <c r="B39" s="95" t="s">
        <v>191</v>
      </c>
      <c r="C39" s="183" t="s">
        <v>27</v>
      </c>
      <c r="D39" s="184" t="s">
        <v>283</v>
      </c>
      <c r="E39" s="183" t="s">
        <v>202</v>
      </c>
      <c r="F39" s="193" t="s">
        <v>149</v>
      </c>
      <c r="G39" s="188">
        <v>93701</v>
      </c>
      <c r="H39" s="189" t="s">
        <v>144</v>
      </c>
      <c r="I39" s="188" t="s">
        <v>148</v>
      </c>
      <c r="J39" s="188" t="s">
        <v>110</v>
      </c>
      <c r="K39" s="183">
        <v>0</v>
      </c>
      <c r="L39" s="186">
        <v>42005</v>
      </c>
      <c r="M39" s="183">
        <v>6</v>
      </c>
      <c r="N39" s="186">
        <v>45291</v>
      </c>
      <c r="O39" s="183">
        <v>2</v>
      </c>
      <c r="P39" s="192" t="s">
        <v>62</v>
      </c>
    </row>
    <row r="40" spans="1:16" ht="81.75" customHeight="1" thickBot="1" x14ac:dyDescent="0.25">
      <c r="A40" s="157" t="s">
        <v>150</v>
      </c>
      <c r="B40" s="156" t="s">
        <v>191</v>
      </c>
      <c r="C40" s="183" t="s">
        <v>27</v>
      </c>
      <c r="D40" s="184" t="s">
        <v>283</v>
      </c>
      <c r="E40" s="183" t="s">
        <v>202</v>
      </c>
      <c r="F40" s="193" t="s">
        <v>149</v>
      </c>
      <c r="G40" s="188">
        <v>94800</v>
      </c>
      <c r="H40" s="189" t="s">
        <v>145</v>
      </c>
      <c r="I40" s="188" t="s">
        <v>109</v>
      </c>
      <c r="J40" s="188" t="s">
        <v>123</v>
      </c>
      <c r="K40" s="183">
        <v>0</v>
      </c>
      <c r="L40" s="186">
        <v>42005</v>
      </c>
      <c r="M40" s="183">
        <v>4</v>
      </c>
      <c r="N40" s="186">
        <v>45291</v>
      </c>
      <c r="O40" s="183">
        <v>0</v>
      </c>
      <c r="P40" s="192" t="s">
        <v>62</v>
      </c>
    </row>
    <row r="41" spans="1:16" ht="96" customHeight="1" thickBot="1" x14ac:dyDescent="0.25">
      <c r="A41" s="158" t="s">
        <v>143</v>
      </c>
      <c r="B41" s="93" t="s">
        <v>192</v>
      </c>
      <c r="C41" s="183" t="s">
        <v>27</v>
      </c>
      <c r="D41" s="184" t="s">
        <v>283</v>
      </c>
      <c r="E41" s="183" t="s">
        <v>202</v>
      </c>
      <c r="F41" s="193" t="s">
        <v>151</v>
      </c>
      <c r="G41" s="188">
        <v>93701</v>
      </c>
      <c r="H41" s="189" t="s">
        <v>144</v>
      </c>
      <c r="I41" s="188" t="s">
        <v>148</v>
      </c>
      <c r="J41" s="188" t="s">
        <v>110</v>
      </c>
      <c r="K41" s="188">
        <v>0</v>
      </c>
      <c r="L41" s="190">
        <v>42005</v>
      </c>
      <c r="M41" s="183">
        <v>1</v>
      </c>
      <c r="N41" s="186">
        <v>45291</v>
      </c>
      <c r="O41" s="183">
        <v>0</v>
      </c>
      <c r="P41" s="192" t="s">
        <v>62</v>
      </c>
    </row>
    <row r="42" spans="1:16" ht="96" customHeight="1" thickBot="1" x14ac:dyDescent="0.25">
      <c r="A42" s="202" t="s">
        <v>143</v>
      </c>
      <c r="B42" s="201" t="s">
        <v>192</v>
      </c>
      <c r="C42" s="183" t="s">
        <v>27</v>
      </c>
      <c r="D42" s="184" t="s">
        <v>283</v>
      </c>
      <c r="E42" s="183" t="s">
        <v>202</v>
      </c>
      <c r="F42" s="193" t="s">
        <v>151</v>
      </c>
      <c r="G42" s="194">
        <v>94800</v>
      </c>
      <c r="H42" s="195" t="s">
        <v>145</v>
      </c>
      <c r="I42" s="194" t="s">
        <v>109</v>
      </c>
      <c r="J42" s="194" t="s">
        <v>123</v>
      </c>
      <c r="K42" s="194">
        <v>0</v>
      </c>
      <c r="L42" s="196">
        <v>42005</v>
      </c>
      <c r="M42" s="197">
        <v>1</v>
      </c>
      <c r="N42" s="198">
        <v>45291</v>
      </c>
      <c r="O42" s="183">
        <v>0</v>
      </c>
      <c r="P42" s="192" t="s">
        <v>62</v>
      </c>
    </row>
    <row r="43" spans="1:16" ht="83.25" customHeight="1" thickBot="1" x14ac:dyDescent="0.25">
      <c r="A43" s="100" t="s">
        <v>153</v>
      </c>
      <c r="B43" s="93" t="s">
        <v>193</v>
      </c>
      <c r="C43" s="183" t="s">
        <v>27</v>
      </c>
      <c r="D43" s="184" t="s">
        <v>284</v>
      </c>
      <c r="E43" s="183" t="s">
        <v>202</v>
      </c>
      <c r="F43" s="191" t="s">
        <v>152</v>
      </c>
      <c r="G43" s="333" t="s">
        <v>173</v>
      </c>
      <c r="H43" s="334"/>
      <c r="I43" s="334"/>
      <c r="J43" s="334"/>
      <c r="K43" s="334"/>
      <c r="L43" s="334"/>
      <c r="M43" s="334"/>
      <c r="N43" s="334"/>
      <c r="O43" s="335"/>
      <c r="P43" s="192" t="s">
        <v>62</v>
      </c>
    </row>
    <row r="44" spans="1:16" ht="151.5" customHeight="1" thickBot="1" x14ac:dyDescent="0.25">
      <c r="A44" s="98" t="s">
        <v>154</v>
      </c>
      <c r="B44" s="91" t="s">
        <v>194</v>
      </c>
      <c r="C44" s="183" t="s">
        <v>44</v>
      </c>
      <c r="D44" s="184" t="s">
        <v>158</v>
      </c>
      <c r="E44" s="183" t="s">
        <v>335</v>
      </c>
      <c r="F44" s="191" t="s">
        <v>157</v>
      </c>
      <c r="G44" s="183">
        <v>60000</v>
      </c>
      <c r="H44" s="185" t="s">
        <v>155</v>
      </c>
      <c r="I44" s="183" t="s">
        <v>127</v>
      </c>
      <c r="J44" s="183" t="s">
        <v>110</v>
      </c>
      <c r="K44" s="183">
        <v>0</v>
      </c>
      <c r="L44" s="186">
        <v>42005</v>
      </c>
      <c r="M44" s="183">
        <v>8</v>
      </c>
      <c r="N44" s="186">
        <v>45291</v>
      </c>
      <c r="O44" s="183">
        <v>3</v>
      </c>
      <c r="P44" s="199" t="s">
        <v>316</v>
      </c>
    </row>
    <row r="45" spans="1:16" ht="123" customHeight="1" thickBot="1" x14ac:dyDescent="0.25">
      <c r="A45" s="98" t="s">
        <v>154</v>
      </c>
      <c r="B45" s="91" t="s">
        <v>194</v>
      </c>
      <c r="C45" s="183" t="s">
        <v>44</v>
      </c>
      <c r="D45" s="184" t="s">
        <v>158</v>
      </c>
      <c r="E45" s="183" t="s">
        <v>335</v>
      </c>
      <c r="F45" s="191" t="s">
        <v>157</v>
      </c>
      <c r="G45" s="183">
        <v>62600</v>
      </c>
      <c r="H45" s="185" t="s">
        <v>224</v>
      </c>
      <c r="I45" s="183" t="s">
        <v>127</v>
      </c>
      <c r="J45" s="183" t="s">
        <v>81</v>
      </c>
      <c r="K45" s="183">
        <v>0</v>
      </c>
      <c r="L45" s="186">
        <v>42005</v>
      </c>
      <c r="M45" s="183">
        <v>1</v>
      </c>
      <c r="N45" s="186">
        <v>45291</v>
      </c>
      <c r="O45" s="183">
        <v>0</v>
      </c>
      <c r="P45" s="199" t="s">
        <v>225</v>
      </c>
    </row>
    <row r="46" spans="1:16" ht="111" customHeight="1" thickBot="1" x14ac:dyDescent="0.25">
      <c r="A46" s="98" t="s">
        <v>154</v>
      </c>
      <c r="B46" s="91" t="s">
        <v>194</v>
      </c>
      <c r="C46" s="183" t="s">
        <v>44</v>
      </c>
      <c r="D46" s="184" t="s">
        <v>158</v>
      </c>
      <c r="E46" s="183" t="s">
        <v>335</v>
      </c>
      <c r="F46" s="191" t="s">
        <v>157</v>
      </c>
      <c r="G46" s="183">
        <v>62700</v>
      </c>
      <c r="H46" s="185" t="s">
        <v>226</v>
      </c>
      <c r="I46" s="183" t="s">
        <v>127</v>
      </c>
      <c r="J46" s="183" t="s">
        <v>81</v>
      </c>
      <c r="K46" s="183">
        <v>0</v>
      </c>
      <c r="L46" s="186">
        <v>42005</v>
      </c>
      <c r="M46" s="183">
        <v>3</v>
      </c>
      <c r="N46" s="186">
        <v>45291</v>
      </c>
      <c r="O46" s="183">
        <v>0</v>
      </c>
      <c r="P46" s="199" t="s">
        <v>227</v>
      </c>
    </row>
    <row r="47" spans="1:16" ht="146.25" customHeight="1" thickBot="1" x14ac:dyDescent="0.25">
      <c r="A47" s="98" t="s">
        <v>154</v>
      </c>
      <c r="B47" s="91" t="s">
        <v>194</v>
      </c>
      <c r="C47" s="183" t="s">
        <v>44</v>
      </c>
      <c r="D47" s="184" t="s">
        <v>158</v>
      </c>
      <c r="E47" s="183" t="s">
        <v>335</v>
      </c>
      <c r="F47" s="191" t="s">
        <v>157</v>
      </c>
      <c r="G47" s="183">
        <v>62800</v>
      </c>
      <c r="H47" s="185" t="s">
        <v>228</v>
      </c>
      <c r="I47" s="183" t="s">
        <v>127</v>
      </c>
      <c r="J47" s="183" t="s">
        <v>81</v>
      </c>
      <c r="K47" s="183">
        <v>0</v>
      </c>
      <c r="L47" s="186">
        <v>42005</v>
      </c>
      <c r="M47" s="79">
        <v>5</v>
      </c>
      <c r="N47" s="186">
        <v>45291</v>
      </c>
      <c r="O47" s="183">
        <v>0</v>
      </c>
      <c r="P47" s="199" t="s">
        <v>229</v>
      </c>
    </row>
    <row r="48" spans="1:16" ht="101.25" customHeight="1" thickBot="1" x14ac:dyDescent="0.25">
      <c r="A48" s="98" t="s">
        <v>154</v>
      </c>
      <c r="B48" s="91" t="s">
        <v>194</v>
      </c>
      <c r="C48" s="183" t="s">
        <v>44</v>
      </c>
      <c r="D48" s="184" t="s">
        <v>158</v>
      </c>
      <c r="E48" s="183" t="s">
        <v>335</v>
      </c>
      <c r="F48" s="191" t="s">
        <v>157</v>
      </c>
      <c r="G48" s="183">
        <v>62900</v>
      </c>
      <c r="H48" s="185" t="s">
        <v>230</v>
      </c>
      <c r="I48" s="183" t="s">
        <v>127</v>
      </c>
      <c r="J48" s="183" t="s">
        <v>81</v>
      </c>
      <c r="K48" s="183">
        <v>0</v>
      </c>
      <c r="L48" s="186">
        <v>42005</v>
      </c>
      <c r="M48" s="79">
        <v>3</v>
      </c>
      <c r="N48" s="186">
        <v>45291</v>
      </c>
      <c r="O48" s="183">
        <v>0</v>
      </c>
      <c r="P48" s="199" t="s">
        <v>231</v>
      </c>
    </row>
    <row r="49" spans="1:16" ht="104.25" customHeight="1" thickBot="1" x14ac:dyDescent="0.25">
      <c r="A49" s="98" t="s">
        <v>154</v>
      </c>
      <c r="B49" s="91" t="s">
        <v>194</v>
      </c>
      <c r="C49" s="183" t="s">
        <v>44</v>
      </c>
      <c r="D49" s="184" t="s">
        <v>158</v>
      </c>
      <c r="E49" s="183" t="s">
        <v>335</v>
      </c>
      <c r="F49" s="191" t="s">
        <v>157</v>
      </c>
      <c r="G49" s="183">
        <v>63100</v>
      </c>
      <c r="H49" s="185" t="s">
        <v>232</v>
      </c>
      <c r="I49" s="183" t="s">
        <v>127</v>
      </c>
      <c r="J49" s="183" t="s">
        <v>81</v>
      </c>
      <c r="K49" s="183">
        <v>0</v>
      </c>
      <c r="L49" s="186">
        <v>42005</v>
      </c>
      <c r="M49" s="79">
        <v>1</v>
      </c>
      <c r="N49" s="186">
        <v>45291</v>
      </c>
      <c r="O49" s="183">
        <v>0</v>
      </c>
      <c r="P49" s="199" t="s">
        <v>233</v>
      </c>
    </row>
    <row r="50" spans="1:16" ht="93.75" customHeight="1" thickBot="1" x14ac:dyDescent="0.25">
      <c r="A50" s="98" t="s">
        <v>154</v>
      </c>
      <c r="B50" s="91" t="s">
        <v>194</v>
      </c>
      <c r="C50" s="183" t="s">
        <v>44</v>
      </c>
      <c r="D50" s="184" t="s">
        <v>158</v>
      </c>
      <c r="E50" s="183" t="s">
        <v>335</v>
      </c>
      <c r="F50" s="191" t="s">
        <v>157</v>
      </c>
      <c r="G50" s="183">
        <v>63200</v>
      </c>
      <c r="H50" s="185" t="s">
        <v>234</v>
      </c>
      <c r="I50" s="183" t="s">
        <v>127</v>
      </c>
      <c r="J50" s="183" t="s">
        <v>81</v>
      </c>
      <c r="K50" s="183">
        <v>0</v>
      </c>
      <c r="L50" s="186">
        <v>42005</v>
      </c>
      <c r="M50" s="79">
        <v>1</v>
      </c>
      <c r="N50" s="186">
        <v>45291</v>
      </c>
      <c r="O50" s="183">
        <v>0</v>
      </c>
      <c r="P50" s="199" t="s">
        <v>235</v>
      </c>
    </row>
    <row r="51" spans="1:16" ht="132.75" customHeight="1" thickBot="1" x14ac:dyDescent="0.25">
      <c r="A51" s="98" t="s">
        <v>154</v>
      </c>
      <c r="B51" s="91" t="s">
        <v>194</v>
      </c>
      <c r="C51" s="183" t="s">
        <v>44</v>
      </c>
      <c r="D51" s="184" t="s">
        <v>158</v>
      </c>
      <c r="E51" s="183" t="s">
        <v>335</v>
      </c>
      <c r="F51" s="191" t="s">
        <v>157</v>
      </c>
      <c r="G51" s="183">
        <v>50105</v>
      </c>
      <c r="H51" s="185" t="s">
        <v>236</v>
      </c>
      <c r="I51" s="183" t="s">
        <v>115</v>
      </c>
      <c r="J51" s="183" t="s">
        <v>67</v>
      </c>
      <c r="K51" s="183">
        <v>0</v>
      </c>
      <c r="L51" s="186">
        <v>42005</v>
      </c>
      <c r="M51" s="183">
        <v>1</v>
      </c>
      <c r="N51" s="186">
        <v>45291</v>
      </c>
      <c r="O51" s="183">
        <v>0</v>
      </c>
      <c r="P51" s="199" t="s">
        <v>237</v>
      </c>
    </row>
    <row r="52" spans="1:16" ht="96.75" customHeight="1" thickBot="1" x14ac:dyDescent="0.25">
      <c r="A52" s="98" t="s">
        <v>154</v>
      </c>
      <c r="B52" s="91" t="s">
        <v>194</v>
      </c>
      <c r="C52" s="183" t="s">
        <v>44</v>
      </c>
      <c r="D52" s="184" t="s">
        <v>158</v>
      </c>
      <c r="E52" s="183" t="s">
        <v>335</v>
      </c>
      <c r="F52" s="191" t="s">
        <v>157</v>
      </c>
      <c r="G52" s="183">
        <v>50130</v>
      </c>
      <c r="H52" s="185" t="s">
        <v>238</v>
      </c>
      <c r="I52" s="183" t="s">
        <v>127</v>
      </c>
      <c r="J52" s="183" t="s">
        <v>81</v>
      </c>
      <c r="K52" s="183">
        <v>0</v>
      </c>
      <c r="L52" s="186">
        <v>42005</v>
      </c>
      <c r="M52" s="183">
        <v>1</v>
      </c>
      <c r="N52" s="186">
        <v>45291</v>
      </c>
      <c r="O52" s="183">
        <v>0</v>
      </c>
      <c r="P52" s="199" t="s">
        <v>239</v>
      </c>
    </row>
    <row r="53" spans="1:16" ht="104.25" customHeight="1" thickBot="1" x14ac:dyDescent="0.25">
      <c r="A53" s="98" t="s">
        <v>154</v>
      </c>
      <c r="B53" s="91" t="s">
        <v>194</v>
      </c>
      <c r="C53" s="183" t="s">
        <v>44</v>
      </c>
      <c r="D53" s="184" t="s">
        <v>158</v>
      </c>
      <c r="E53" s="183" t="s">
        <v>335</v>
      </c>
      <c r="F53" s="191" t="s">
        <v>157</v>
      </c>
      <c r="G53" s="183">
        <v>62200</v>
      </c>
      <c r="H53" s="185" t="s">
        <v>156</v>
      </c>
      <c r="I53" s="183" t="s">
        <v>159</v>
      </c>
      <c r="J53" s="183" t="s">
        <v>110</v>
      </c>
      <c r="K53" s="183">
        <v>0</v>
      </c>
      <c r="L53" s="186">
        <v>42005</v>
      </c>
      <c r="M53" s="183">
        <v>3</v>
      </c>
      <c r="N53" s="186">
        <v>45291</v>
      </c>
      <c r="O53" s="183">
        <v>1</v>
      </c>
      <c r="P53" s="200" t="s">
        <v>240</v>
      </c>
    </row>
    <row r="54" spans="1:16" ht="175.5" customHeight="1" thickBot="1" x14ac:dyDescent="0.25">
      <c r="A54" s="99" t="s">
        <v>91</v>
      </c>
      <c r="B54" s="91" t="s">
        <v>195</v>
      </c>
      <c r="C54" s="183" t="s">
        <v>44</v>
      </c>
      <c r="D54" s="184" t="s">
        <v>158</v>
      </c>
      <c r="E54" s="183" t="s">
        <v>335</v>
      </c>
      <c r="F54" s="191" t="s">
        <v>160</v>
      </c>
      <c r="G54" s="183">
        <v>60000</v>
      </c>
      <c r="H54" s="185" t="s">
        <v>155</v>
      </c>
      <c r="I54" s="183" t="s">
        <v>127</v>
      </c>
      <c r="J54" s="183" t="s">
        <v>110</v>
      </c>
      <c r="K54" s="183">
        <v>0</v>
      </c>
      <c r="L54" s="186">
        <v>42005</v>
      </c>
      <c r="M54" s="183">
        <v>20</v>
      </c>
      <c r="N54" s="186">
        <v>45291</v>
      </c>
      <c r="O54" s="183">
        <v>5</v>
      </c>
      <c r="P54" s="200" t="s">
        <v>241</v>
      </c>
    </row>
    <row r="55" spans="1:16" ht="139.5" customHeight="1" thickBot="1" x14ac:dyDescent="0.25">
      <c r="A55" s="99" t="s">
        <v>91</v>
      </c>
      <c r="B55" s="91" t="s">
        <v>195</v>
      </c>
      <c r="C55" s="183" t="s">
        <v>44</v>
      </c>
      <c r="D55" s="184" t="s">
        <v>158</v>
      </c>
      <c r="E55" s="183" t="s">
        <v>335</v>
      </c>
      <c r="F55" s="191" t="s">
        <v>160</v>
      </c>
      <c r="G55" s="183">
        <v>67310</v>
      </c>
      <c r="H55" s="185" t="s">
        <v>242</v>
      </c>
      <c r="I55" s="183" t="s">
        <v>127</v>
      </c>
      <c r="J55" s="183" t="s">
        <v>81</v>
      </c>
      <c r="K55" s="183">
        <v>0</v>
      </c>
      <c r="L55" s="186">
        <v>41640</v>
      </c>
      <c r="M55" s="183">
        <v>10</v>
      </c>
      <c r="N55" s="186">
        <v>45291</v>
      </c>
      <c r="O55" s="183">
        <v>0</v>
      </c>
      <c r="P55" s="200" t="s">
        <v>274</v>
      </c>
    </row>
    <row r="56" spans="1:16" ht="112.5" customHeight="1" thickBot="1" x14ac:dyDescent="0.25">
      <c r="A56" s="99" t="s">
        <v>91</v>
      </c>
      <c r="B56" s="91" t="s">
        <v>195</v>
      </c>
      <c r="C56" s="183" t="s">
        <v>44</v>
      </c>
      <c r="D56" s="184" t="s">
        <v>158</v>
      </c>
      <c r="E56" s="183" t="s">
        <v>335</v>
      </c>
      <c r="F56" s="191" t="s">
        <v>160</v>
      </c>
      <c r="G56" s="183">
        <v>62200</v>
      </c>
      <c r="H56" s="185" t="s">
        <v>156</v>
      </c>
      <c r="I56" s="183" t="s">
        <v>159</v>
      </c>
      <c r="J56" s="183" t="s">
        <v>110</v>
      </c>
      <c r="K56" s="183">
        <v>0</v>
      </c>
      <c r="L56" s="186">
        <v>42005</v>
      </c>
      <c r="M56" s="183">
        <v>1</v>
      </c>
      <c r="N56" s="186">
        <v>45291</v>
      </c>
      <c r="O56" s="183">
        <v>0</v>
      </c>
      <c r="P56" s="192" t="s">
        <v>243</v>
      </c>
    </row>
    <row r="57" spans="1:16" ht="224.25" customHeight="1" thickBot="1" x14ac:dyDescent="0.25">
      <c r="A57" s="99" t="s">
        <v>91</v>
      </c>
      <c r="B57" s="91" t="s">
        <v>195</v>
      </c>
      <c r="C57" s="183" t="s">
        <v>44</v>
      </c>
      <c r="D57" s="184" t="s">
        <v>158</v>
      </c>
      <c r="E57" s="183" t="s">
        <v>335</v>
      </c>
      <c r="F57" s="191" t="s">
        <v>160</v>
      </c>
      <c r="G57" s="183">
        <v>67001</v>
      </c>
      <c r="H57" s="185" t="s">
        <v>161</v>
      </c>
      <c r="I57" s="183" t="s">
        <v>162</v>
      </c>
      <c r="J57" s="183" t="s">
        <v>110</v>
      </c>
      <c r="K57" s="183">
        <v>0</v>
      </c>
      <c r="L57" s="186">
        <v>42005</v>
      </c>
      <c r="M57" s="183">
        <v>15</v>
      </c>
      <c r="N57" s="186">
        <v>45291</v>
      </c>
      <c r="O57" s="183">
        <v>5</v>
      </c>
      <c r="P57" s="192" t="s">
        <v>244</v>
      </c>
    </row>
    <row r="58" spans="1:16" ht="146.25" customHeight="1" thickBot="1" x14ac:dyDescent="0.25">
      <c r="A58" s="99" t="s">
        <v>91</v>
      </c>
      <c r="B58" s="91" t="s">
        <v>195</v>
      </c>
      <c r="C58" s="183" t="s">
        <v>44</v>
      </c>
      <c r="D58" s="184" t="s">
        <v>158</v>
      </c>
      <c r="E58" s="183" t="s">
        <v>335</v>
      </c>
      <c r="F58" s="191" t="s">
        <v>160</v>
      </c>
      <c r="G58" s="183">
        <v>67315</v>
      </c>
      <c r="H58" s="185" t="s">
        <v>163</v>
      </c>
      <c r="I58" s="183" t="s">
        <v>127</v>
      </c>
      <c r="J58" s="183" t="s">
        <v>123</v>
      </c>
      <c r="K58" s="183">
        <v>0</v>
      </c>
      <c r="L58" s="186">
        <v>42005</v>
      </c>
      <c r="M58" s="183">
        <v>10</v>
      </c>
      <c r="N58" s="186">
        <v>45291</v>
      </c>
      <c r="O58" s="183">
        <v>0</v>
      </c>
      <c r="P58" s="200" t="s">
        <v>275</v>
      </c>
    </row>
    <row r="59" spans="1:16" ht="109.5" customHeight="1" thickBot="1" x14ac:dyDescent="0.25">
      <c r="A59" s="99" t="s">
        <v>91</v>
      </c>
      <c r="B59" s="91" t="s">
        <v>195</v>
      </c>
      <c r="C59" s="183" t="s">
        <v>44</v>
      </c>
      <c r="D59" s="184" t="s">
        <v>158</v>
      </c>
      <c r="E59" s="183" t="s">
        <v>335</v>
      </c>
      <c r="F59" s="191" t="s">
        <v>160</v>
      </c>
      <c r="G59" s="183">
        <v>67010</v>
      </c>
      <c r="H59" s="185" t="s">
        <v>164</v>
      </c>
      <c r="I59" s="183" t="s">
        <v>127</v>
      </c>
      <c r="J59" s="183" t="s">
        <v>123</v>
      </c>
      <c r="K59" s="183">
        <v>0</v>
      </c>
      <c r="L59" s="186">
        <v>42005</v>
      </c>
      <c r="M59" s="183">
        <v>45</v>
      </c>
      <c r="N59" s="186">
        <v>45291</v>
      </c>
      <c r="O59" s="183">
        <v>10</v>
      </c>
      <c r="P59" s="200" t="s">
        <v>282</v>
      </c>
    </row>
    <row r="60" spans="1:16" ht="106.5" customHeight="1" thickBot="1" x14ac:dyDescent="0.25">
      <c r="A60" s="99" t="s">
        <v>91</v>
      </c>
      <c r="B60" s="91" t="s">
        <v>195</v>
      </c>
      <c r="C60" s="183" t="s">
        <v>44</v>
      </c>
      <c r="D60" s="184" t="s">
        <v>158</v>
      </c>
      <c r="E60" s="183" t="s">
        <v>335</v>
      </c>
      <c r="F60" s="191" t="s">
        <v>160</v>
      </c>
      <c r="G60" s="183">
        <v>55102</v>
      </c>
      <c r="H60" s="185" t="s">
        <v>165</v>
      </c>
      <c r="I60" s="183" t="s">
        <v>130</v>
      </c>
      <c r="J60" s="183" t="s">
        <v>110</v>
      </c>
      <c r="K60" s="183">
        <v>0</v>
      </c>
      <c r="L60" s="186">
        <v>42005</v>
      </c>
      <c r="M60" s="183">
        <v>1</v>
      </c>
      <c r="N60" s="186">
        <v>45291</v>
      </c>
      <c r="O60" s="183">
        <v>0</v>
      </c>
      <c r="P60" s="192" t="s">
        <v>245</v>
      </c>
    </row>
    <row r="61" spans="1:16" ht="183.75" customHeight="1" thickBot="1" x14ac:dyDescent="0.25">
      <c r="A61" s="99" t="s">
        <v>154</v>
      </c>
      <c r="B61" s="91" t="s">
        <v>198</v>
      </c>
      <c r="C61" s="183" t="s">
        <v>44</v>
      </c>
      <c r="D61" s="184" t="s">
        <v>158</v>
      </c>
      <c r="E61" s="183" t="s">
        <v>335</v>
      </c>
      <c r="F61" s="191" t="s">
        <v>167</v>
      </c>
      <c r="G61" s="257">
        <v>60000</v>
      </c>
      <c r="H61" s="258" t="s">
        <v>155</v>
      </c>
      <c r="I61" s="257" t="s">
        <v>127</v>
      </c>
      <c r="J61" s="257" t="s">
        <v>168</v>
      </c>
      <c r="K61" s="257">
        <v>0</v>
      </c>
      <c r="L61" s="259">
        <v>42005</v>
      </c>
      <c r="M61" s="257">
        <v>52</v>
      </c>
      <c r="N61" s="259">
        <v>45291</v>
      </c>
      <c r="O61" s="257">
        <v>10</v>
      </c>
      <c r="P61" s="260" t="s">
        <v>336</v>
      </c>
    </row>
    <row r="62" spans="1:16" ht="120" customHeight="1" thickBot="1" x14ac:dyDescent="0.25">
      <c r="A62" s="99" t="s">
        <v>154</v>
      </c>
      <c r="B62" s="91" t="s">
        <v>198</v>
      </c>
      <c r="C62" s="183" t="s">
        <v>44</v>
      </c>
      <c r="D62" s="184" t="s">
        <v>158</v>
      </c>
      <c r="E62" s="183" t="s">
        <v>335</v>
      </c>
      <c r="F62" s="191" t="s">
        <v>167</v>
      </c>
      <c r="G62" s="257">
        <v>50130</v>
      </c>
      <c r="H62" s="258" t="s">
        <v>337</v>
      </c>
      <c r="I62" s="257" t="s">
        <v>127</v>
      </c>
      <c r="J62" s="257" t="s">
        <v>338</v>
      </c>
      <c r="K62" s="257">
        <v>0</v>
      </c>
      <c r="L62" s="259">
        <v>42005</v>
      </c>
      <c r="M62" s="257">
        <v>0</v>
      </c>
      <c r="N62" s="259">
        <v>45291</v>
      </c>
      <c r="O62" s="257">
        <v>0</v>
      </c>
      <c r="P62" s="260" t="s">
        <v>339</v>
      </c>
    </row>
    <row r="63" spans="1:16" ht="148.5" customHeight="1" thickBot="1" x14ac:dyDescent="0.25">
      <c r="A63" s="99" t="s">
        <v>154</v>
      </c>
      <c r="B63" s="91" t="s">
        <v>198</v>
      </c>
      <c r="C63" s="183" t="s">
        <v>44</v>
      </c>
      <c r="D63" s="184" t="s">
        <v>158</v>
      </c>
      <c r="E63" s="183" t="s">
        <v>335</v>
      </c>
      <c r="F63" s="191" t="s">
        <v>167</v>
      </c>
      <c r="G63" s="183">
        <v>50120</v>
      </c>
      <c r="H63" s="185" t="s">
        <v>246</v>
      </c>
      <c r="I63" s="183" t="s">
        <v>127</v>
      </c>
      <c r="J63" s="183" t="s">
        <v>81</v>
      </c>
      <c r="K63" s="183">
        <v>0</v>
      </c>
      <c r="L63" s="186">
        <v>41640</v>
      </c>
      <c r="M63" s="183">
        <v>0</v>
      </c>
      <c r="N63" s="186">
        <v>45291</v>
      </c>
      <c r="O63" s="183">
        <v>0</v>
      </c>
      <c r="P63" s="200" t="s">
        <v>276</v>
      </c>
    </row>
    <row r="64" spans="1:16" ht="146.25" customHeight="1" thickBot="1" x14ac:dyDescent="0.25">
      <c r="A64" s="99" t="s">
        <v>154</v>
      </c>
      <c r="B64" s="91" t="s">
        <v>198</v>
      </c>
      <c r="C64" s="183" t="s">
        <v>44</v>
      </c>
      <c r="D64" s="184" t="s">
        <v>158</v>
      </c>
      <c r="E64" s="183" t="s">
        <v>335</v>
      </c>
      <c r="F64" s="191" t="s">
        <v>167</v>
      </c>
      <c r="G64" s="183">
        <v>50110</v>
      </c>
      <c r="H64" s="185" t="s">
        <v>247</v>
      </c>
      <c r="I64" s="183" t="s">
        <v>127</v>
      </c>
      <c r="J64" s="183" t="s">
        <v>81</v>
      </c>
      <c r="K64" s="183">
        <v>0</v>
      </c>
      <c r="L64" s="186">
        <v>41640</v>
      </c>
      <c r="M64" s="183">
        <v>10</v>
      </c>
      <c r="N64" s="186">
        <v>45291</v>
      </c>
      <c r="O64" s="183">
        <v>0</v>
      </c>
      <c r="P64" s="200" t="s">
        <v>281</v>
      </c>
    </row>
    <row r="65" spans="1:16" ht="117" customHeight="1" thickBot="1" x14ac:dyDescent="0.25">
      <c r="A65" s="99" t="s">
        <v>154</v>
      </c>
      <c r="B65" s="91" t="s">
        <v>198</v>
      </c>
      <c r="C65" s="183" t="s">
        <v>44</v>
      </c>
      <c r="D65" s="184" t="s">
        <v>158</v>
      </c>
      <c r="E65" s="183" t="s">
        <v>335</v>
      </c>
      <c r="F65" s="191" t="s">
        <v>167</v>
      </c>
      <c r="G65" s="257">
        <v>50105</v>
      </c>
      <c r="H65" s="258" t="s">
        <v>236</v>
      </c>
      <c r="I65" s="257" t="s">
        <v>115</v>
      </c>
      <c r="J65" s="257" t="s">
        <v>110</v>
      </c>
      <c r="K65" s="257">
        <v>0</v>
      </c>
      <c r="L65" s="259">
        <v>42005</v>
      </c>
      <c r="M65" s="257">
        <v>0</v>
      </c>
      <c r="N65" s="259">
        <v>45291</v>
      </c>
      <c r="O65" s="257">
        <v>0</v>
      </c>
      <c r="P65" s="260" t="s">
        <v>340</v>
      </c>
    </row>
    <row r="66" spans="1:16" ht="126" customHeight="1" thickBot="1" x14ac:dyDescent="0.25">
      <c r="A66" s="99" t="s">
        <v>154</v>
      </c>
      <c r="B66" s="91" t="s">
        <v>198</v>
      </c>
      <c r="C66" s="183" t="s">
        <v>44</v>
      </c>
      <c r="D66" s="184" t="s">
        <v>158</v>
      </c>
      <c r="E66" s="183" t="s">
        <v>335</v>
      </c>
      <c r="F66" s="191" t="s">
        <v>167</v>
      </c>
      <c r="G66" s="183">
        <v>50100</v>
      </c>
      <c r="H66" s="185" t="s">
        <v>248</v>
      </c>
      <c r="I66" s="183" t="s">
        <v>341</v>
      </c>
      <c r="J66" s="183" t="s">
        <v>123</v>
      </c>
      <c r="K66" s="183">
        <v>0</v>
      </c>
      <c r="L66" s="186">
        <v>41640</v>
      </c>
      <c r="M66" s="183">
        <v>1</v>
      </c>
      <c r="N66" s="186">
        <v>45291</v>
      </c>
      <c r="O66" s="183">
        <v>0</v>
      </c>
      <c r="P66" s="200" t="s">
        <v>280</v>
      </c>
    </row>
    <row r="67" spans="1:16" ht="134.25" customHeight="1" thickBot="1" x14ac:dyDescent="0.25">
      <c r="A67" s="99" t="s">
        <v>154</v>
      </c>
      <c r="B67" s="91" t="s">
        <v>198</v>
      </c>
      <c r="C67" s="183" t="s">
        <v>44</v>
      </c>
      <c r="D67" s="184" t="s">
        <v>158</v>
      </c>
      <c r="E67" s="183" t="s">
        <v>335</v>
      </c>
      <c r="F67" s="191" t="s">
        <v>167</v>
      </c>
      <c r="G67" s="183">
        <v>50001</v>
      </c>
      <c r="H67" s="185" t="s">
        <v>249</v>
      </c>
      <c r="I67" s="183" t="s">
        <v>127</v>
      </c>
      <c r="J67" s="183" t="s">
        <v>110</v>
      </c>
      <c r="K67" s="183">
        <v>0</v>
      </c>
      <c r="L67" s="186">
        <v>41640</v>
      </c>
      <c r="M67" s="183">
        <v>52</v>
      </c>
      <c r="N67" s="186">
        <v>45291</v>
      </c>
      <c r="O67" s="183">
        <v>12</v>
      </c>
      <c r="P67" s="260" t="s">
        <v>342</v>
      </c>
    </row>
    <row r="68" spans="1:16" ht="90.75" customHeight="1" thickBot="1" x14ac:dyDescent="0.25">
      <c r="A68" s="99" t="s">
        <v>154</v>
      </c>
      <c r="B68" s="91" t="s">
        <v>198</v>
      </c>
      <c r="C68" s="183" t="s">
        <v>44</v>
      </c>
      <c r="D68" s="184" t="s">
        <v>158</v>
      </c>
      <c r="E68" s="183" t="s">
        <v>335</v>
      </c>
      <c r="F68" s="191" t="s">
        <v>167</v>
      </c>
      <c r="G68" s="183">
        <v>62000</v>
      </c>
      <c r="H68" s="185" t="s">
        <v>169</v>
      </c>
      <c r="I68" s="183" t="s">
        <v>159</v>
      </c>
      <c r="J68" s="183" t="s">
        <v>110</v>
      </c>
      <c r="K68" s="183">
        <v>0</v>
      </c>
      <c r="L68" s="186">
        <v>42005</v>
      </c>
      <c r="M68" s="183">
        <v>1</v>
      </c>
      <c r="N68" s="186">
        <v>45291</v>
      </c>
      <c r="O68" s="183">
        <v>0</v>
      </c>
      <c r="P68" s="200" t="s">
        <v>250</v>
      </c>
    </row>
    <row r="69" spans="1:16" ht="99" customHeight="1" thickBot="1" x14ac:dyDescent="0.25">
      <c r="A69" s="99" t="s">
        <v>154</v>
      </c>
      <c r="B69" s="91" t="s">
        <v>198</v>
      </c>
      <c r="C69" s="183" t="s">
        <v>44</v>
      </c>
      <c r="D69" s="184" t="s">
        <v>158</v>
      </c>
      <c r="E69" s="183" t="s">
        <v>335</v>
      </c>
      <c r="F69" s="191" t="s">
        <v>167</v>
      </c>
      <c r="G69" s="257">
        <v>62600</v>
      </c>
      <c r="H69" s="258" t="s">
        <v>224</v>
      </c>
      <c r="I69" s="257" t="s">
        <v>127</v>
      </c>
      <c r="J69" s="257" t="s">
        <v>123</v>
      </c>
      <c r="K69" s="257">
        <v>0</v>
      </c>
      <c r="L69" s="259">
        <v>42005</v>
      </c>
      <c r="M69" s="257">
        <v>0</v>
      </c>
      <c r="N69" s="259">
        <v>45291</v>
      </c>
      <c r="O69" s="257">
        <v>0</v>
      </c>
      <c r="P69" s="260" t="s">
        <v>343</v>
      </c>
    </row>
    <row r="70" spans="1:16" ht="107.25" customHeight="1" thickBot="1" x14ac:dyDescent="0.25">
      <c r="A70" s="99" t="s">
        <v>154</v>
      </c>
      <c r="B70" s="91" t="s">
        <v>198</v>
      </c>
      <c r="C70" s="183" t="s">
        <v>44</v>
      </c>
      <c r="D70" s="184" t="s">
        <v>158</v>
      </c>
      <c r="E70" s="183" t="s">
        <v>335</v>
      </c>
      <c r="F70" s="191" t="s">
        <v>167</v>
      </c>
      <c r="G70" s="257">
        <v>62700</v>
      </c>
      <c r="H70" s="258" t="s">
        <v>344</v>
      </c>
      <c r="I70" s="257" t="s">
        <v>127</v>
      </c>
      <c r="J70" s="257" t="s">
        <v>123</v>
      </c>
      <c r="K70" s="257">
        <v>0</v>
      </c>
      <c r="L70" s="259">
        <v>42005</v>
      </c>
      <c r="M70" s="257">
        <v>0</v>
      </c>
      <c r="N70" s="259">
        <v>45291</v>
      </c>
      <c r="O70" s="257">
        <v>0</v>
      </c>
      <c r="P70" s="260" t="s">
        <v>345</v>
      </c>
    </row>
    <row r="71" spans="1:16" ht="108" customHeight="1" thickBot="1" x14ac:dyDescent="0.25">
      <c r="A71" s="99" t="s">
        <v>154</v>
      </c>
      <c r="B71" s="91" t="s">
        <v>198</v>
      </c>
      <c r="C71" s="183" t="s">
        <v>44</v>
      </c>
      <c r="D71" s="184" t="s">
        <v>158</v>
      </c>
      <c r="E71" s="183" t="s">
        <v>335</v>
      </c>
      <c r="F71" s="191" t="s">
        <v>167</v>
      </c>
      <c r="G71" s="257">
        <v>62800</v>
      </c>
      <c r="H71" s="258" t="s">
        <v>346</v>
      </c>
      <c r="I71" s="257" t="s">
        <v>127</v>
      </c>
      <c r="J71" s="257" t="s">
        <v>123</v>
      </c>
      <c r="K71" s="257">
        <v>0</v>
      </c>
      <c r="L71" s="259">
        <v>42005</v>
      </c>
      <c r="M71" s="257">
        <v>0</v>
      </c>
      <c r="N71" s="259">
        <v>45291</v>
      </c>
      <c r="O71" s="257">
        <v>0</v>
      </c>
      <c r="P71" s="260" t="s">
        <v>347</v>
      </c>
    </row>
    <row r="72" spans="1:16" ht="140.25" customHeight="1" thickBot="1" x14ac:dyDescent="0.25">
      <c r="A72" s="99" t="s">
        <v>154</v>
      </c>
      <c r="B72" s="91" t="s">
        <v>198</v>
      </c>
      <c r="C72" s="183" t="s">
        <v>44</v>
      </c>
      <c r="D72" s="184" t="s">
        <v>158</v>
      </c>
      <c r="E72" s="183" t="s">
        <v>335</v>
      </c>
      <c r="F72" s="191" t="s">
        <v>167</v>
      </c>
      <c r="G72" s="257">
        <v>62900</v>
      </c>
      <c r="H72" s="258" t="s">
        <v>348</v>
      </c>
      <c r="I72" s="257" t="s">
        <v>127</v>
      </c>
      <c r="J72" s="257" t="s">
        <v>123</v>
      </c>
      <c r="K72" s="257">
        <v>0</v>
      </c>
      <c r="L72" s="259">
        <v>42005</v>
      </c>
      <c r="M72" s="257">
        <v>0</v>
      </c>
      <c r="N72" s="259">
        <v>45291</v>
      </c>
      <c r="O72" s="257">
        <v>0</v>
      </c>
      <c r="P72" s="260" t="s">
        <v>345</v>
      </c>
    </row>
    <row r="73" spans="1:16" ht="96" customHeight="1" thickBot="1" x14ac:dyDescent="0.25">
      <c r="A73" s="99" t="s">
        <v>154</v>
      </c>
      <c r="B73" s="91" t="s">
        <v>198</v>
      </c>
      <c r="C73" s="183" t="s">
        <v>44</v>
      </c>
      <c r="D73" s="184" t="s">
        <v>158</v>
      </c>
      <c r="E73" s="183" t="s">
        <v>335</v>
      </c>
      <c r="F73" s="191" t="s">
        <v>167</v>
      </c>
      <c r="G73" s="257">
        <v>63200</v>
      </c>
      <c r="H73" s="258" t="s">
        <v>349</v>
      </c>
      <c r="I73" s="257" t="s">
        <v>127</v>
      </c>
      <c r="J73" s="257" t="s">
        <v>123</v>
      </c>
      <c r="K73" s="257">
        <v>0</v>
      </c>
      <c r="L73" s="259">
        <v>42005</v>
      </c>
      <c r="M73" s="257">
        <v>0</v>
      </c>
      <c r="N73" s="259">
        <v>45291</v>
      </c>
      <c r="O73" s="257">
        <v>0</v>
      </c>
      <c r="P73" s="260" t="s">
        <v>345</v>
      </c>
    </row>
    <row r="74" spans="1:16" ht="108" customHeight="1" thickBot="1" x14ac:dyDescent="0.25">
      <c r="A74" s="99" t="s">
        <v>154</v>
      </c>
      <c r="B74" s="91" t="s">
        <v>198</v>
      </c>
      <c r="C74" s="183" t="s">
        <v>44</v>
      </c>
      <c r="D74" s="184" t="s">
        <v>158</v>
      </c>
      <c r="E74" s="183" t="s">
        <v>335</v>
      </c>
      <c r="F74" s="191" t="s">
        <v>167</v>
      </c>
      <c r="G74" s="257">
        <v>80500</v>
      </c>
      <c r="H74" s="258" t="s">
        <v>350</v>
      </c>
      <c r="I74" s="257" t="s">
        <v>351</v>
      </c>
      <c r="J74" s="257" t="s">
        <v>67</v>
      </c>
      <c r="K74" s="257">
        <v>0</v>
      </c>
      <c r="L74" s="259">
        <v>42005</v>
      </c>
      <c r="M74" s="257">
        <v>0</v>
      </c>
      <c r="N74" s="259">
        <v>45291</v>
      </c>
      <c r="O74" s="257">
        <v>0</v>
      </c>
      <c r="P74" s="260" t="s">
        <v>352</v>
      </c>
    </row>
    <row r="75" spans="1:16" ht="96" customHeight="1" thickBot="1" x14ac:dyDescent="0.25">
      <c r="A75" s="99" t="s">
        <v>172</v>
      </c>
      <c r="B75" s="101" t="s">
        <v>197</v>
      </c>
      <c r="C75" s="183" t="s">
        <v>44</v>
      </c>
      <c r="D75" s="184" t="s">
        <v>158</v>
      </c>
      <c r="E75" s="183" t="s">
        <v>335</v>
      </c>
      <c r="F75" s="191" t="s">
        <v>166</v>
      </c>
      <c r="G75" s="183">
        <v>60000</v>
      </c>
      <c r="H75" s="185" t="s">
        <v>155</v>
      </c>
      <c r="I75" s="183" t="s">
        <v>127</v>
      </c>
      <c r="J75" s="183" t="s">
        <v>110</v>
      </c>
      <c r="K75" s="183">
        <v>0</v>
      </c>
      <c r="L75" s="186">
        <v>42005</v>
      </c>
      <c r="M75" s="183">
        <v>6</v>
      </c>
      <c r="N75" s="186">
        <v>45291</v>
      </c>
      <c r="O75" s="183">
        <v>0</v>
      </c>
      <c r="P75" s="200" t="s">
        <v>277</v>
      </c>
    </row>
    <row r="76" spans="1:16" ht="105" customHeight="1" thickBot="1" x14ac:dyDescent="0.25">
      <c r="A76" s="99" t="s">
        <v>172</v>
      </c>
      <c r="B76" s="101" t="s">
        <v>197</v>
      </c>
      <c r="C76" s="183" t="s">
        <v>44</v>
      </c>
      <c r="D76" s="184" t="s">
        <v>158</v>
      </c>
      <c r="E76" s="183" t="s">
        <v>335</v>
      </c>
      <c r="F76" s="191" t="s">
        <v>166</v>
      </c>
      <c r="G76" s="183">
        <v>10213</v>
      </c>
      <c r="H76" s="185" t="s">
        <v>171</v>
      </c>
      <c r="I76" s="183" t="s">
        <v>170</v>
      </c>
      <c r="J76" s="183" t="s">
        <v>110</v>
      </c>
      <c r="K76" s="183">
        <v>0</v>
      </c>
      <c r="L76" s="186">
        <v>42005</v>
      </c>
      <c r="M76" s="183">
        <v>1</v>
      </c>
      <c r="N76" s="186">
        <v>45291</v>
      </c>
      <c r="O76" s="183">
        <v>0</v>
      </c>
      <c r="P76" s="200" t="s">
        <v>251</v>
      </c>
    </row>
    <row r="77" spans="1:16" ht="116.25" customHeight="1" thickBot="1" x14ac:dyDescent="0.25">
      <c r="A77" s="99" t="s">
        <v>172</v>
      </c>
      <c r="B77" s="101" t="s">
        <v>197</v>
      </c>
      <c r="C77" s="183" t="s">
        <v>44</v>
      </c>
      <c r="D77" s="184" t="s">
        <v>158</v>
      </c>
      <c r="E77" s="183" t="s">
        <v>335</v>
      </c>
      <c r="F77" s="191" t="s">
        <v>166</v>
      </c>
      <c r="G77" s="183">
        <v>10212</v>
      </c>
      <c r="H77" s="185" t="s">
        <v>252</v>
      </c>
      <c r="I77" s="183" t="s">
        <v>170</v>
      </c>
      <c r="J77" s="183" t="s">
        <v>110</v>
      </c>
      <c r="K77" s="183">
        <v>0</v>
      </c>
      <c r="L77" s="186">
        <v>42005</v>
      </c>
      <c r="M77" s="183">
        <v>1</v>
      </c>
      <c r="N77" s="186">
        <v>45291</v>
      </c>
      <c r="O77" s="183">
        <v>0</v>
      </c>
      <c r="P77" s="200" t="s">
        <v>253</v>
      </c>
    </row>
    <row r="78" spans="1:16" ht="90" thickBot="1" x14ac:dyDescent="0.25">
      <c r="A78" s="99" t="s">
        <v>172</v>
      </c>
      <c r="B78" s="101" t="s">
        <v>197</v>
      </c>
      <c r="C78" s="183" t="s">
        <v>44</v>
      </c>
      <c r="D78" s="184" t="s">
        <v>158</v>
      </c>
      <c r="E78" s="183" t="s">
        <v>335</v>
      </c>
      <c r="F78" s="191" t="s">
        <v>157</v>
      </c>
      <c r="G78" s="183">
        <v>62600</v>
      </c>
      <c r="H78" s="185" t="s">
        <v>224</v>
      </c>
      <c r="I78" s="183" t="s">
        <v>127</v>
      </c>
      <c r="J78" s="183" t="s">
        <v>81</v>
      </c>
      <c r="K78" s="183">
        <v>0</v>
      </c>
      <c r="L78" s="186">
        <v>42005</v>
      </c>
      <c r="M78" s="183">
        <v>2</v>
      </c>
      <c r="N78" s="186">
        <v>45291</v>
      </c>
      <c r="O78" s="183">
        <v>0</v>
      </c>
      <c r="P78" s="200" t="s">
        <v>254</v>
      </c>
    </row>
    <row r="79" spans="1:16" ht="90" thickBot="1" x14ac:dyDescent="0.25">
      <c r="A79" s="99" t="s">
        <v>172</v>
      </c>
      <c r="B79" s="101" t="s">
        <v>197</v>
      </c>
      <c r="C79" s="183" t="s">
        <v>44</v>
      </c>
      <c r="D79" s="184" t="s">
        <v>158</v>
      </c>
      <c r="E79" s="183" t="s">
        <v>335</v>
      </c>
      <c r="F79" s="191" t="s">
        <v>157</v>
      </c>
      <c r="G79" s="183">
        <v>62700</v>
      </c>
      <c r="H79" s="185" t="s">
        <v>226</v>
      </c>
      <c r="I79" s="183" t="s">
        <v>127</v>
      </c>
      <c r="J79" s="183" t="s">
        <v>81</v>
      </c>
      <c r="K79" s="183">
        <v>0</v>
      </c>
      <c r="L79" s="186">
        <v>42005</v>
      </c>
      <c r="M79" s="183">
        <v>2</v>
      </c>
      <c r="N79" s="186">
        <v>45291</v>
      </c>
      <c r="O79" s="183">
        <v>0</v>
      </c>
      <c r="P79" s="199" t="s">
        <v>255</v>
      </c>
    </row>
    <row r="80" spans="1:16" ht="156.75" thickBot="1" x14ac:dyDescent="0.25">
      <c r="A80" s="99" t="s">
        <v>172</v>
      </c>
      <c r="B80" s="101" t="s">
        <v>197</v>
      </c>
      <c r="C80" s="183" t="s">
        <v>44</v>
      </c>
      <c r="D80" s="184" t="s">
        <v>158</v>
      </c>
      <c r="E80" s="256" t="s">
        <v>335</v>
      </c>
      <c r="F80" s="191" t="s">
        <v>157</v>
      </c>
      <c r="G80" s="183">
        <v>62800</v>
      </c>
      <c r="H80" s="185" t="s">
        <v>256</v>
      </c>
      <c r="I80" s="183" t="s">
        <v>127</v>
      </c>
      <c r="J80" s="183" t="s">
        <v>81</v>
      </c>
      <c r="K80" s="183">
        <v>0</v>
      </c>
      <c r="L80" s="186">
        <v>42005</v>
      </c>
      <c r="M80" s="79">
        <v>2</v>
      </c>
      <c r="N80" s="186">
        <v>45291</v>
      </c>
      <c r="O80" s="183">
        <v>0</v>
      </c>
      <c r="P80" s="199" t="s">
        <v>257</v>
      </c>
    </row>
    <row r="81" spans="1:16" ht="90" thickBot="1" x14ac:dyDescent="0.25">
      <c r="A81" s="99" t="s">
        <v>172</v>
      </c>
      <c r="B81" s="101" t="s">
        <v>197</v>
      </c>
      <c r="C81" s="183" t="s">
        <v>44</v>
      </c>
      <c r="D81" s="184" t="s">
        <v>158</v>
      </c>
      <c r="E81" s="183" t="s">
        <v>335</v>
      </c>
      <c r="F81" s="191" t="s">
        <v>157</v>
      </c>
      <c r="G81" s="183">
        <v>62900</v>
      </c>
      <c r="H81" s="185" t="s">
        <v>230</v>
      </c>
      <c r="I81" s="183" t="s">
        <v>127</v>
      </c>
      <c r="J81" s="183" t="s">
        <v>81</v>
      </c>
      <c r="K81" s="183">
        <v>0</v>
      </c>
      <c r="L81" s="186">
        <v>42005</v>
      </c>
      <c r="M81" s="79">
        <v>2</v>
      </c>
      <c r="N81" s="186">
        <v>45291</v>
      </c>
      <c r="O81" s="183">
        <v>0</v>
      </c>
      <c r="P81" s="199" t="s">
        <v>258</v>
      </c>
    </row>
    <row r="82" spans="1:16" ht="90" thickBot="1" x14ac:dyDescent="0.25">
      <c r="A82" s="99" t="s">
        <v>172</v>
      </c>
      <c r="B82" s="101" t="s">
        <v>197</v>
      </c>
      <c r="C82" s="183" t="s">
        <v>44</v>
      </c>
      <c r="D82" s="184" t="s">
        <v>158</v>
      </c>
      <c r="E82" s="183" t="s">
        <v>335</v>
      </c>
      <c r="F82" s="191" t="s">
        <v>157</v>
      </c>
      <c r="G82" s="183">
        <v>63100</v>
      </c>
      <c r="H82" s="185" t="s">
        <v>232</v>
      </c>
      <c r="I82" s="183" t="s">
        <v>127</v>
      </c>
      <c r="J82" s="183" t="s">
        <v>81</v>
      </c>
      <c r="K82" s="183">
        <v>0</v>
      </c>
      <c r="L82" s="186">
        <v>42005</v>
      </c>
      <c r="M82" s="79">
        <v>0</v>
      </c>
      <c r="N82" s="186">
        <v>45291</v>
      </c>
      <c r="O82" s="183">
        <v>0</v>
      </c>
      <c r="P82" s="199" t="s">
        <v>259</v>
      </c>
    </row>
    <row r="83" spans="1:16" ht="90" thickBot="1" x14ac:dyDescent="0.25">
      <c r="A83" s="99" t="s">
        <v>172</v>
      </c>
      <c r="B83" s="101" t="s">
        <v>197</v>
      </c>
      <c r="C83" s="183" t="s">
        <v>44</v>
      </c>
      <c r="D83" s="184" t="s">
        <v>158</v>
      </c>
      <c r="E83" s="183" t="s">
        <v>335</v>
      </c>
      <c r="F83" s="191" t="s">
        <v>157</v>
      </c>
      <c r="G83" s="183">
        <v>63200</v>
      </c>
      <c r="H83" s="185" t="s">
        <v>234</v>
      </c>
      <c r="I83" s="183" t="s">
        <v>127</v>
      </c>
      <c r="J83" s="183" t="s">
        <v>81</v>
      </c>
      <c r="K83" s="183">
        <v>0</v>
      </c>
      <c r="L83" s="186">
        <v>42005</v>
      </c>
      <c r="M83" s="79">
        <v>1</v>
      </c>
      <c r="N83" s="186">
        <v>45291</v>
      </c>
      <c r="O83" s="183">
        <v>0</v>
      </c>
      <c r="P83" s="199" t="s">
        <v>260</v>
      </c>
    </row>
    <row r="84" spans="1:16" ht="96.75" thickBot="1" x14ac:dyDescent="0.25">
      <c r="A84" s="99" t="s">
        <v>172</v>
      </c>
      <c r="B84" s="101" t="s">
        <v>197</v>
      </c>
      <c r="C84" s="183" t="s">
        <v>44</v>
      </c>
      <c r="D84" s="184" t="s">
        <v>158</v>
      </c>
      <c r="E84" s="183" t="s">
        <v>335</v>
      </c>
      <c r="F84" s="191" t="s">
        <v>157</v>
      </c>
      <c r="G84" s="183">
        <v>62200</v>
      </c>
      <c r="H84" s="185" t="s">
        <v>156</v>
      </c>
      <c r="I84" s="183" t="s">
        <v>159</v>
      </c>
      <c r="J84" s="183" t="s">
        <v>110</v>
      </c>
      <c r="K84" s="183">
        <v>0</v>
      </c>
      <c r="L84" s="186">
        <v>42005</v>
      </c>
      <c r="M84" s="183">
        <v>1</v>
      </c>
      <c r="N84" s="186">
        <v>45291</v>
      </c>
      <c r="O84" s="183">
        <v>0</v>
      </c>
      <c r="P84" s="200" t="s">
        <v>261</v>
      </c>
    </row>
    <row r="85" spans="1:16" ht="102.75" thickBot="1" x14ac:dyDescent="0.25">
      <c r="A85" s="99" t="s">
        <v>172</v>
      </c>
      <c r="B85" s="101" t="s">
        <v>197</v>
      </c>
      <c r="C85" s="183" t="s">
        <v>44</v>
      </c>
      <c r="D85" s="184" t="s">
        <v>158</v>
      </c>
      <c r="E85" s="183" t="s">
        <v>335</v>
      </c>
      <c r="F85" s="191" t="s">
        <v>167</v>
      </c>
      <c r="G85" s="183">
        <v>62000</v>
      </c>
      <c r="H85" s="185" t="s">
        <v>169</v>
      </c>
      <c r="I85" s="183" t="s">
        <v>159</v>
      </c>
      <c r="J85" s="183" t="s">
        <v>110</v>
      </c>
      <c r="K85" s="183">
        <v>0</v>
      </c>
      <c r="L85" s="186">
        <v>42005</v>
      </c>
      <c r="M85" s="183">
        <v>1</v>
      </c>
      <c r="N85" s="186">
        <v>45291</v>
      </c>
      <c r="O85" s="183">
        <v>0</v>
      </c>
      <c r="P85" s="200" t="s">
        <v>262</v>
      </c>
    </row>
  </sheetData>
  <mergeCells count="21">
    <mergeCell ref="A1:P1"/>
    <mergeCell ref="A2:A5"/>
    <mergeCell ref="B2:B5"/>
    <mergeCell ref="C2:F2"/>
    <mergeCell ref="G2:J2"/>
    <mergeCell ref="K2:O2"/>
    <mergeCell ref="P2:P5"/>
    <mergeCell ref="C3:C5"/>
    <mergeCell ref="F3:F5"/>
    <mergeCell ref="G3:G5"/>
    <mergeCell ref="N3:N5"/>
    <mergeCell ref="O3:O5"/>
    <mergeCell ref="D4:D5"/>
    <mergeCell ref="E4:E5"/>
    <mergeCell ref="M3:M5"/>
    <mergeCell ref="H3:H5"/>
    <mergeCell ref="I3:I5"/>
    <mergeCell ref="J3:J5"/>
    <mergeCell ref="K3:K5"/>
    <mergeCell ref="L3:L5"/>
    <mergeCell ref="G43:O43"/>
  </mergeCells>
  <pageMargins left="0.7" right="0.7" top="0.78740157499999996" bottom="0.78740157499999996" header="0.3" footer="0.3"/>
  <pageSetup paperSize="8" scale="63" orientation="landscape" r:id="rId1"/>
  <rowBreaks count="5" manualBreakCount="5">
    <brk id="11" max="16383" man="1"/>
    <brk id="18" max="16383" man="1"/>
    <brk id="31" max="16383" man="1"/>
    <brk id="43" max="16383" man="1"/>
    <brk id="48"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16" zoomScale="80" zoomScaleNormal="80" zoomScaleSheetLayoutView="90" workbookViewId="0">
      <selection activeCell="E8" sqref="E8"/>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7" max="17" width="17.42578125" customWidth="1"/>
    <col min="18" max="18" width="16.28515625" customWidth="1"/>
  </cols>
  <sheetData>
    <row r="1" spans="1:18" ht="42.75" customHeight="1" thickBot="1" x14ac:dyDescent="0.3">
      <c r="A1" s="327" t="s">
        <v>296</v>
      </c>
      <c r="B1" s="328"/>
      <c r="C1" s="328"/>
      <c r="D1" s="328"/>
      <c r="E1" s="328"/>
      <c r="F1" s="328"/>
      <c r="G1" s="328"/>
      <c r="H1" s="328"/>
      <c r="I1" s="328"/>
      <c r="J1" s="328"/>
      <c r="K1" s="328"/>
      <c r="L1" s="328"/>
      <c r="M1" s="328"/>
      <c r="N1" s="352" t="s">
        <v>297</v>
      </c>
      <c r="O1" s="352"/>
      <c r="P1" s="352"/>
      <c r="Q1" s="352"/>
      <c r="R1" s="352"/>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0</v>
      </c>
      <c r="Q3" s="30">
        <f>J15+J16+J17+J18+J19+J20</f>
        <v>0</v>
      </c>
      <c r="R3" s="31">
        <f>P3+Q3</f>
        <v>0</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0</v>
      </c>
      <c r="Q5" s="35">
        <f>Q3+Q4</f>
        <v>0</v>
      </c>
      <c r="R5" s="36">
        <f>R3+R4</f>
        <v>0</v>
      </c>
    </row>
    <row r="6" spans="1:18" ht="15.75" thickBot="1" x14ac:dyDescent="0.3">
      <c r="A6" s="3"/>
      <c r="B6" s="4"/>
      <c r="C6" s="4"/>
      <c r="D6" s="29"/>
      <c r="E6" s="29"/>
      <c r="F6" s="29"/>
      <c r="G6" s="29"/>
      <c r="H6" s="29"/>
      <c r="I6" s="29"/>
      <c r="J6" s="29"/>
      <c r="K6" s="29"/>
      <c r="L6" s="29"/>
      <c r="M6" s="4"/>
      <c r="N6" s="306" t="s">
        <v>24</v>
      </c>
      <c r="O6" s="10" t="s">
        <v>25</v>
      </c>
      <c r="P6" s="30">
        <f>I26+I27+I28+I29</f>
        <v>0</v>
      </c>
      <c r="Q6" s="30">
        <f>J26+J27+J28+J29+K26+K27+K28+K29+L26+L27+L28+L29</f>
        <v>0</v>
      </c>
      <c r="R6" s="32">
        <f>P6+Q6</f>
        <v>0</v>
      </c>
    </row>
    <row r="7" spans="1:18" ht="15.75" thickBot="1" x14ac:dyDescent="0.3">
      <c r="A7" s="3"/>
      <c r="B7" s="4"/>
      <c r="C7" s="4"/>
      <c r="D7" s="29"/>
      <c r="E7" s="29"/>
      <c r="F7" s="29"/>
      <c r="G7" s="29"/>
      <c r="H7" s="29"/>
      <c r="I7" s="29"/>
      <c r="J7" s="29"/>
      <c r="K7" s="29"/>
      <c r="L7" s="29"/>
      <c r="M7" s="4"/>
      <c r="N7" s="305"/>
      <c r="O7" s="129" t="s">
        <v>288</v>
      </c>
      <c r="P7" s="177">
        <f>P6</f>
        <v>0</v>
      </c>
      <c r="Q7" s="177">
        <f>J26+J27+J28+J29+K26+K27+K28+K29+L26+L27+L28+L29</f>
        <v>0</v>
      </c>
      <c r="R7" s="178">
        <f>R6</f>
        <v>0</v>
      </c>
    </row>
    <row r="8" spans="1:18" ht="15.75" thickBot="1" x14ac:dyDescent="0.3">
      <c r="A8" s="3"/>
      <c r="B8" s="4"/>
      <c r="C8" s="4"/>
      <c r="D8" s="29"/>
      <c r="E8" s="29"/>
      <c r="F8" s="29"/>
      <c r="G8" s="29"/>
      <c r="H8" s="29"/>
      <c r="I8" s="29"/>
      <c r="J8" s="29"/>
      <c r="K8" s="29"/>
      <c r="L8" s="29"/>
      <c r="M8" s="4"/>
      <c r="N8" s="306" t="s">
        <v>26</v>
      </c>
      <c r="O8" s="13" t="s">
        <v>27</v>
      </c>
      <c r="P8" s="33">
        <f>I21+I22+I23+I24+I25</f>
        <v>0</v>
      </c>
      <c r="Q8" s="33">
        <f>J21+J22+J23+J24+J25</f>
        <v>0</v>
      </c>
      <c r="R8" s="34">
        <f>P8+Q8</f>
        <v>0</v>
      </c>
    </row>
    <row r="9" spans="1:18" ht="15.75" thickBot="1" x14ac:dyDescent="0.3">
      <c r="A9" s="3"/>
      <c r="B9" s="4"/>
      <c r="C9" s="4"/>
      <c r="D9" s="29"/>
      <c r="E9" s="29"/>
      <c r="F9" s="29"/>
      <c r="G9" s="29"/>
      <c r="H9" s="29"/>
      <c r="I9" s="29"/>
      <c r="J9" s="29"/>
      <c r="K9" s="29"/>
      <c r="L9" s="29"/>
      <c r="M9" s="4"/>
      <c r="N9" s="307"/>
      <c r="O9" s="12" t="s">
        <v>28</v>
      </c>
      <c r="P9" s="177">
        <f>P8</f>
        <v>0</v>
      </c>
      <c r="Q9" s="177">
        <f>Q8</f>
        <v>0</v>
      </c>
      <c r="R9" s="177">
        <f>R8</f>
        <v>0</v>
      </c>
    </row>
    <row r="10" spans="1:18" ht="16.5" thickTop="1" thickBot="1" x14ac:dyDescent="0.3">
      <c r="A10" s="330" t="s">
        <v>174</v>
      </c>
      <c r="B10" s="329"/>
      <c r="C10" s="329"/>
      <c r="D10" s="329"/>
      <c r="E10" s="329"/>
      <c r="F10" s="329"/>
      <c r="G10" s="329"/>
      <c r="H10" s="329"/>
      <c r="I10" s="329"/>
      <c r="J10" s="329"/>
      <c r="K10" s="329"/>
      <c r="L10" s="329"/>
      <c r="M10" s="329"/>
      <c r="N10" s="14" t="s">
        <v>29</v>
      </c>
      <c r="O10" s="15" t="s">
        <v>0</v>
      </c>
      <c r="P10" s="37">
        <f>P5+P7+P9</f>
        <v>0</v>
      </c>
      <c r="Q10" s="37">
        <f>Q5+Q7+Q9</f>
        <v>0</v>
      </c>
      <c r="R10" s="38">
        <f>R5+R7+R9</f>
        <v>0</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2" customHeight="1" thickBot="1" x14ac:dyDescent="0.3">
      <c r="A15" s="65" t="s">
        <v>64</v>
      </c>
      <c r="B15" s="66" t="s">
        <v>63</v>
      </c>
      <c r="C15" s="66" t="s">
        <v>43</v>
      </c>
      <c r="D15" s="132" t="s">
        <v>21</v>
      </c>
      <c r="E15" s="102">
        <v>4</v>
      </c>
      <c r="F15" s="132" t="s">
        <v>200</v>
      </c>
      <c r="G15" s="133" t="s">
        <v>201</v>
      </c>
      <c r="H15" s="105">
        <f>I15+J15+K15+L15</f>
        <v>0</v>
      </c>
      <c r="I15" s="105">
        <f t="shared" ref="I15:I20" si="0">0.85*O15</f>
        <v>0</v>
      </c>
      <c r="J15" s="105">
        <f t="shared" ref="J15:J20" si="1">0.15*O15</f>
        <v>0</v>
      </c>
      <c r="K15" s="105">
        <f>((I15+J15)/95)*5</f>
        <v>0</v>
      </c>
      <c r="L15" s="105">
        <v>0</v>
      </c>
      <c r="M15" s="106">
        <v>0</v>
      </c>
      <c r="N15" s="42"/>
      <c r="O15" s="52">
        <v>0</v>
      </c>
      <c r="P15" s="42"/>
      <c r="Q15" s="42"/>
      <c r="R15" s="53"/>
    </row>
    <row r="16" spans="1:18" ht="43.5" customHeight="1" thickBot="1" x14ac:dyDescent="0.3">
      <c r="A16" s="18" t="s">
        <v>84</v>
      </c>
      <c r="B16" s="19" t="s">
        <v>185</v>
      </c>
      <c r="C16" s="19" t="s">
        <v>43</v>
      </c>
      <c r="D16" s="134" t="s">
        <v>21</v>
      </c>
      <c r="E16" s="107">
        <v>4</v>
      </c>
      <c r="F16" s="134" t="s">
        <v>200</v>
      </c>
      <c r="G16" s="135" t="s">
        <v>201</v>
      </c>
      <c r="H16" s="110">
        <f>I16+J16+K16+L16</f>
        <v>0</v>
      </c>
      <c r="I16" s="110">
        <f t="shared" si="0"/>
        <v>0</v>
      </c>
      <c r="J16" s="110">
        <f t="shared" si="1"/>
        <v>0</v>
      </c>
      <c r="K16" s="110">
        <f>((I16+J16)/95)*5</f>
        <v>0</v>
      </c>
      <c r="L16" s="110">
        <v>0</v>
      </c>
      <c r="M16" s="111">
        <v>0</v>
      </c>
      <c r="N16" s="44"/>
      <c r="O16" s="54">
        <v>0</v>
      </c>
      <c r="P16" s="44"/>
      <c r="Q16" s="44"/>
      <c r="R16" s="55"/>
    </row>
    <row r="17" spans="1:18" ht="42" customHeight="1" thickBot="1" x14ac:dyDescent="0.3">
      <c r="A17" s="18" t="s">
        <v>91</v>
      </c>
      <c r="B17" s="19" t="s">
        <v>184</v>
      </c>
      <c r="C17" s="19" t="s">
        <v>43</v>
      </c>
      <c r="D17" s="134" t="s">
        <v>21</v>
      </c>
      <c r="E17" s="107">
        <v>4</v>
      </c>
      <c r="F17" s="134" t="s">
        <v>200</v>
      </c>
      <c r="G17" s="135" t="s">
        <v>201</v>
      </c>
      <c r="H17" s="110">
        <f t="shared" ref="H17:H29" si="2">I17+J17+K17+L17</f>
        <v>0</v>
      </c>
      <c r="I17" s="110">
        <f t="shared" si="0"/>
        <v>0</v>
      </c>
      <c r="J17" s="110">
        <f t="shared" si="1"/>
        <v>0</v>
      </c>
      <c r="K17" s="110">
        <f>((I17+J17)/95)*5</f>
        <v>0</v>
      </c>
      <c r="L17" s="110">
        <v>0</v>
      </c>
      <c r="M17" s="111">
        <v>0</v>
      </c>
      <c r="N17" s="44"/>
      <c r="O17" s="54">
        <v>0</v>
      </c>
      <c r="P17" s="44"/>
      <c r="Q17" s="44"/>
      <c r="R17" s="55"/>
    </row>
    <row r="18" spans="1:18" ht="51" customHeight="1" thickBot="1" x14ac:dyDescent="0.3">
      <c r="A18" s="18" t="s">
        <v>106</v>
      </c>
      <c r="B18" s="19" t="s">
        <v>186</v>
      </c>
      <c r="C18" s="19" t="s">
        <v>43</v>
      </c>
      <c r="D18" s="134" t="s">
        <v>21</v>
      </c>
      <c r="E18" s="107">
        <v>4</v>
      </c>
      <c r="F18" s="134" t="s">
        <v>200</v>
      </c>
      <c r="G18" s="135" t="s">
        <v>201</v>
      </c>
      <c r="H18" s="110">
        <f t="shared" si="2"/>
        <v>0</v>
      </c>
      <c r="I18" s="110">
        <f t="shared" si="0"/>
        <v>0</v>
      </c>
      <c r="J18" s="110">
        <f t="shared" si="1"/>
        <v>0</v>
      </c>
      <c r="K18" s="110">
        <v>0</v>
      </c>
      <c r="L18" s="110">
        <f>((I18+J18)/95)*5</f>
        <v>0</v>
      </c>
      <c r="M18" s="111">
        <v>0</v>
      </c>
      <c r="N18" s="44"/>
      <c r="O18" s="54">
        <v>0</v>
      </c>
      <c r="P18" s="44"/>
      <c r="Q18" s="44"/>
      <c r="R18" s="55"/>
    </row>
    <row r="19" spans="1:18" ht="45.75" customHeight="1" thickBot="1" x14ac:dyDescent="0.3">
      <c r="A19" s="18" t="s">
        <v>124</v>
      </c>
      <c r="B19" s="19" t="s">
        <v>187</v>
      </c>
      <c r="C19" s="19" t="s">
        <v>43</v>
      </c>
      <c r="D19" s="134" t="s">
        <v>21</v>
      </c>
      <c r="E19" s="107">
        <v>4</v>
      </c>
      <c r="F19" s="134" t="s">
        <v>200</v>
      </c>
      <c r="G19" s="135" t="s">
        <v>201</v>
      </c>
      <c r="H19" s="110">
        <f t="shared" si="2"/>
        <v>0</v>
      </c>
      <c r="I19" s="110">
        <f t="shared" si="0"/>
        <v>0</v>
      </c>
      <c r="J19" s="110">
        <f t="shared" si="1"/>
        <v>0</v>
      </c>
      <c r="K19" s="110">
        <f>(((I19+J19)/95)*5)/10*9</f>
        <v>0</v>
      </c>
      <c r="L19" s="110">
        <f>(((I19+J19)/95)*5)/10</f>
        <v>0</v>
      </c>
      <c r="M19" s="111">
        <v>0</v>
      </c>
      <c r="N19" s="44"/>
      <c r="O19" s="54">
        <v>0</v>
      </c>
      <c r="P19" s="44"/>
      <c r="Q19" s="44"/>
      <c r="R19" s="55"/>
    </row>
    <row r="20" spans="1:18" ht="39" customHeight="1" thickBot="1" x14ac:dyDescent="0.3">
      <c r="A20" s="26" t="s">
        <v>135</v>
      </c>
      <c r="B20" s="27" t="s">
        <v>188</v>
      </c>
      <c r="C20" s="27" t="s">
        <v>43</v>
      </c>
      <c r="D20" s="136" t="s">
        <v>21</v>
      </c>
      <c r="E20" s="137">
        <v>4</v>
      </c>
      <c r="F20" s="136" t="s">
        <v>200</v>
      </c>
      <c r="G20" s="138" t="s">
        <v>201</v>
      </c>
      <c r="H20" s="139">
        <f t="shared" si="2"/>
        <v>0</v>
      </c>
      <c r="I20" s="139">
        <f t="shared" si="0"/>
        <v>0</v>
      </c>
      <c r="J20" s="139">
        <f t="shared" si="1"/>
        <v>0</v>
      </c>
      <c r="K20" s="139">
        <f>(((I20+J20)/95)*5)</f>
        <v>0</v>
      </c>
      <c r="L20" s="139">
        <v>0</v>
      </c>
      <c r="M20" s="140">
        <v>0</v>
      </c>
      <c r="N20" s="46"/>
      <c r="O20" s="56">
        <v>0</v>
      </c>
      <c r="P20" s="46"/>
      <c r="Q20" s="57"/>
      <c r="R20" s="58"/>
    </row>
    <row r="21" spans="1:18" ht="36" customHeight="1" thickBot="1" x14ac:dyDescent="0.3">
      <c r="A21" s="72" t="s">
        <v>143</v>
      </c>
      <c r="B21" s="66" t="s">
        <v>189</v>
      </c>
      <c r="C21" s="66" t="s">
        <v>43</v>
      </c>
      <c r="D21" s="132" t="s">
        <v>27</v>
      </c>
      <c r="E21" s="102">
        <v>6</v>
      </c>
      <c r="F21" s="132" t="s">
        <v>202</v>
      </c>
      <c r="G21" s="141" t="s">
        <v>203</v>
      </c>
      <c r="H21" s="105">
        <f t="shared" si="2"/>
        <v>0</v>
      </c>
      <c r="I21" s="105">
        <f t="shared" ref="I21:I29" si="3">0.75*O21</f>
        <v>0</v>
      </c>
      <c r="J21" s="105">
        <f t="shared" ref="J21:J29" si="4">0.25*O21</f>
        <v>0</v>
      </c>
      <c r="K21" s="105">
        <v>0</v>
      </c>
      <c r="L21" s="105">
        <f t="shared" ref="L21:L29" si="5">((I21+J21)/(100-P21))*P21</f>
        <v>0</v>
      </c>
      <c r="M21" s="106">
        <v>0</v>
      </c>
      <c r="N21" s="42"/>
      <c r="O21" s="52">
        <v>0</v>
      </c>
      <c r="P21" s="59">
        <v>50</v>
      </c>
      <c r="Q21" s="60"/>
      <c r="R21" s="53"/>
    </row>
    <row r="22" spans="1:18" ht="39" customHeight="1" thickBot="1" x14ac:dyDescent="0.3">
      <c r="A22" s="18" t="s">
        <v>143</v>
      </c>
      <c r="B22" s="19" t="s">
        <v>190</v>
      </c>
      <c r="C22" s="19" t="s">
        <v>43</v>
      </c>
      <c r="D22" s="134" t="s">
        <v>27</v>
      </c>
      <c r="E22" s="107">
        <v>6</v>
      </c>
      <c r="F22" s="134" t="s">
        <v>202</v>
      </c>
      <c r="G22" s="138" t="s">
        <v>203</v>
      </c>
      <c r="H22" s="110">
        <f t="shared" si="2"/>
        <v>0</v>
      </c>
      <c r="I22" s="110">
        <f t="shared" si="3"/>
        <v>0</v>
      </c>
      <c r="J22" s="110">
        <f t="shared" si="4"/>
        <v>0</v>
      </c>
      <c r="K22" s="110">
        <v>0</v>
      </c>
      <c r="L22" s="110">
        <f t="shared" si="5"/>
        <v>0</v>
      </c>
      <c r="M22" s="111">
        <v>0</v>
      </c>
      <c r="N22" s="44"/>
      <c r="O22" s="54">
        <v>0</v>
      </c>
      <c r="P22" s="61">
        <v>20</v>
      </c>
      <c r="Q22" s="62"/>
      <c r="R22" s="55"/>
    </row>
    <row r="23" spans="1:18" ht="39" customHeight="1" thickBot="1" x14ac:dyDescent="0.3">
      <c r="A23" s="18" t="s">
        <v>150</v>
      </c>
      <c r="B23" s="19" t="s">
        <v>191</v>
      </c>
      <c r="C23" s="19" t="s">
        <v>43</v>
      </c>
      <c r="D23" s="134" t="s">
        <v>27</v>
      </c>
      <c r="E23" s="107">
        <v>6</v>
      </c>
      <c r="F23" s="134" t="s">
        <v>202</v>
      </c>
      <c r="G23" s="138" t="s">
        <v>203</v>
      </c>
      <c r="H23" s="110">
        <f t="shared" si="2"/>
        <v>0</v>
      </c>
      <c r="I23" s="110">
        <f t="shared" si="3"/>
        <v>0</v>
      </c>
      <c r="J23" s="110">
        <f t="shared" si="4"/>
        <v>0</v>
      </c>
      <c r="K23" s="110">
        <v>0</v>
      </c>
      <c r="L23" s="110">
        <f t="shared" si="5"/>
        <v>0</v>
      </c>
      <c r="M23" s="111">
        <v>0</v>
      </c>
      <c r="N23" s="44"/>
      <c r="O23" s="54">
        <v>0</v>
      </c>
      <c r="P23" s="61">
        <v>55</v>
      </c>
      <c r="Q23" s="62"/>
      <c r="R23" s="55"/>
    </row>
    <row r="24" spans="1:18" ht="39" customHeight="1" thickBot="1" x14ac:dyDescent="0.3">
      <c r="A24" s="18" t="s">
        <v>143</v>
      </c>
      <c r="B24" s="19" t="s">
        <v>192</v>
      </c>
      <c r="C24" s="19" t="s">
        <v>43</v>
      </c>
      <c r="D24" s="134" t="s">
        <v>27</v>
      </c>
      <c r="E24" s="107">
        <v>6</v>
      </c>
      <c r="F24" s="134" t="s">
        <v>202</v>
      </c>
      <c r="G24" s="138" t="s">
        <v>203</v>
      </c>
      <c r="H24" s="110">
        <f t="shared" si="2"/>
        <v>0</v>
      </c>
      <c r="I24" s="110">
        <f t="shared" si="3"/>
        <v>0</v>
      </c>
      <c r="J24" s="110">
        <f t="shared" si="4"/>
        <v>0</v>
      </c>
      <c r="K24" s="110">
        <v>0</v>
      </c>
      <c r="L24" s="110">
        <f t="shared" si="5"/>
        <v>0</v>
      </c>
      <c r="M24" s="111">
        <v>0</v>
      </c>
      <c r="N24" s="44"/>
      <c r="O24" s="54">
        <v>0</v>
      </c>
      <c r="P24" s="61">
        <v>50</v>
      </c>
      <c r="Q24" s="62"/>
      <c r="R24" s="55"/>
    </row>
    <row r="25" spans="1:18" ht="39" customHeight="1" thickBot="1" x14ac:dyDescent="0.3">
      <c r="A25" s="26" t="s">
        <v>153</v>
      </c>
      <c r="B25" s="27" t="s">
        <v>193</v>
      </c>
      <c r="C25" s="27" t="s">
        <v>43</v>
      </c>
      <c r="D25" s="136" t="s">
        <v>27</v>
      </c>
      <c r="E25" s="137">
        <v>6</v>
      </c>
      <c r="F25" s="136" t="s">
        <v>202</v>
      </c>
      <c r="G25" s="142" t="s">
        <v>204</v>
      </c>
      <c r="H25" s="139">
        <f t="shared" si="2"/>
        <v>0</v>
      </c>
      <c r="I25" s="139">
        <f t="shared" si="3"/>
        <v>0</v>
      </c>
      <c r="J25" s="139">
        <f t="shared" si="4"/>
        <v>0</v>
      </c>
      <c r="K25" s="139">
        <v>0</v>
      </c>
      <c r="L25" s="139">
        <f t="shared" si="5"/>
        <v>0</v>
      </c>
      <c r="M25" s="140">
        <v>0</v>
      </c>
      <c r="N25" s="46"/>
      <c r="O25" s="56">
        <v>0</v>
      </c>
      <c r="P25" s="63">
        <v>20</v>
      </c>
      <c r="Q25" s="64"/>
      <c r="R25" s="58"/>
    </row>
    <row r="26" spans="1:18" ht="54" customHeight="1" thickBot="1" x14ac:dyDescent="0.3">
      <c r="A26" s="65" t="s">
        <v>154</v>
      </c>
      <c r="B26" s="66" t="s">
        <v>194</v>
      </c>
      <c r="C26" s="66" t="s">
        <v>43</v>
      </c>
      <c r="D26" s="132" t="s">
        <v>44</v>
      </c>
      <c r="E26" s="117" t="s">
        <v>47</v>
      </c>
      <c r="F26" s="102">
        <v>3</v>
      </c>
      <c r="G26" s="141" t="s">
        <v>205</v>
      </c>
      <c r="H26" s="105">
        <f t="shared" si="2"/>
        <v>0</v>
      </c>
      <c r="I26" s="105">
        <f t="shared" si="3"/>
        <v>0</v>
      </c>
      <c r="J26" s="105">
        <f t="shared" si="4"/>
        <v>0</v>
      </c>
      <c r="K26" s="105">
        <v>0</v>
      </c>
      <c r="L26" s="105">
        <f t="shared" si="5"/>
        <v>0</v>
      </c>
      <c r="M26" s="106">
        <v>0</v>
      </c>
      <c r="N26" s="42"/>
      <c r="O26" s="52">
        <v>0</v>
      </c>
      <c r="P26" s="59">
        <v>0</v>
      </c>
      <c r="Q26" s="68" t="s">
        <v>45</v>
      </c>
      <c r="R26" s="53"/>
    </row>
    <row r="27" spans="1:18" ht="84" customHeight="1" thickBot="1" x14ac:dyDescent="0.3">
      <c r="A27" s="18" t="s">
        <v>91</v>
      </c>
      <c r="B27" s="19" t="s">
        <v>195</v>
      </c>
      <c r="C27" s="19" t="s">
        <v>43</v>
      </c>
      <c r="D27" s="134" t="s">
        <v>44</v>
      </c>
      <c r="E27" s="119">
        <v>2</v>
      </c>
      <c r="F27" s="107">
        <v>3</v>
      </c>
      <c r="G27" s="138" t="s">
        <v>48</v>
      </c>
      <c r="H27" s="110">
        <f t="shared" si="2"/>
        <v>0</v>
      </c>
      <c r="I27" s="110">
        <f t="shared" si="3"/>
        <v>0</v>
      </c>
      <c r="J27" s="110">
        <f t="shared" si="4"/>
        <v>0</v>
      </c>
      <c r="K27" s="110">
        <v>0</v>
      </c>
      <c r="L27" s="110">
        <f t="shared" si="5"/>
        <v>0</v>
      </c>
      <c r="M27" s="111">
        <v>0</v>
      </c>
      <c r="N27" s="44"/>
      <c r="O27" s="54">
        <v>0</v>
      </c>
      <c r="P27" s="61">
        <v>0</v>
      </c>
      <c r="Q27" s="69" t="s">
        <v>199</v>
      </c>
      <c r="R27" s="55"/>
    </row>
    <row r="28" spans="1:18" ht="51" customHeight="1" thickBot="1" x14ac:dyDescent="0.3">
      <c r="A28" s="18" t="s">
        <v>154</v>
      </c>
      <c r="B28" s="19" t="s">
        <v>196</v>
      </c>
      <c r="C28" s="19" t="s">
        <v>43</v>
      </c>
      <c r="D28" s="134" t="s">
        <v>44</v>
      </c>
      <c r="E28" s="119" t="s">
        <v>47</v>
      </c>
      <c r="F28" s="107">
        <v>3</v>
      </c>
      <c r="G28" s="138" t="s">
        <v>48</v>
      </c>
      <c r="H28" s="110">
        <f t="shared" si="2"/>
        <v>0</v>
      </c>
      <c r="I28" s="110">
        <f t="shared" si="3"/>
        <v>0</v>
      </c>
      <c r="J28" s="110">
        <f t="shared" si="4"/>
        <v>0</v>
      </c>
      <c r="K28" s="110">
        <v>0</v>
      </c>
      <c r="L28" s="110">
        <f t="shared" si="5"/>
        <v>0</v>
      </c>
      <c r="M28" s="111">
        <v>0</v>
      </c>
      <c r="N28" s="44"/>
      <c r="O28" s="54">
        <v>0</v>
      </c>
      <c r="P28" s="61">
        <v>0</v>
      </c>
      <c r="Q28" s="69" t="s">
        <v>49</v>
      </c>
      <c r="R28" s="55"/>
    </row>
    <row r="29" spans="1:18" ht="48" customHeight="1" thickBot="1" x14ac:dyDescent="0.3">
      <c r="A29" s="26" t="s">
        <v>172</v>
      </c>
      <c r="B29" s="27" t="s">
        <v>197</v>
      </c>
      <c r="C29" s="27" t="s">
        <v>43</v>
      </c>
      <c r="D29" s="143" t="s">
        <v>44</v>
      </c>
      <c r="E29" s="121" t="s">
        <v>47</v>
      </c>
      <c r="F29" s="112">
        <v>3</v>
      </c>
      <c r="G29" s="144" t="s">
        <v>48</v>
      </c>
      <c r="H29" s="115">
        <f t="shared" si="2"/>
        <v>0</v>
      </c>
      <c r="I29" s="115">
        <f t="shared" si="3"/>
        <v>0</v>
      </c>
      <c r="J29" s="115">
        <f t="shared" si="4"/>
        <v>0</v>
      </c>
      <c r="K29" s="115">
        <v>0</v>
      </c>
      <c r="L29" s="115">
        <f t="shared" si="5"/>
        <v>0</v>
      </c>
      <c r="M29" s="116">
        <v>0</v>
      </c>
      <c r="N29" s="46"/>
      <c r="O29" s="56">
        <v>0</v>
      </c>
      <c r="P29" s="63">
        <v>15</v>
      </c>
      <c r="Q29" s="71" t="s">
        <v>50</v>
      </c>
      <c r="R29" s="58"/>
    </row>
    <row r="30" spans="1:18" ht="15.75" thickBot="1" x14ac:dyDescent="0.3">
      <c r="A30" s="309" t="s">
        <v>0</v>
      </c>
      <c r="B30" s="310"/>
      <c r="C30" s="310"/>
      <c r="D30" s="310"/>
      <c r="E30" s="310"/>
      <c r="F30" s="311"/>
      <c r="G30" s="22"/>
      <c r="H30" s="23">
        <f t="shared" ref="H30:M30" si="6">SUM(H15:H29)</f>
        <v>0</v>
      </c>
      <c r="I30" s="23">
        <f t="shared" si="6"/>
        <v>0</v>
      </c>
      <c r="J30" s="23">
        <f t="shared" si="6"/>
        <v>0</v>
      </c>
      <c r="K30" s="23">
        <f t="shared" si="6"/>
        <v>0</v>
      </c>
      <c r="L30" s="23">
        <f t="shared" si="6"/>
        <v>0</v>
      </c>
      <c r="M30" s="23">
        <f t="shared" si="6"/>
        <v>0</v>
      </c>
      <c r="O30" s="21">
        <f>I30+J30</f>
        <v>0</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60" orientation="landscape" r:id="rId1"/>
  <rowBreaks count="1" manualBreakCount="1">
    <brk id="25"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2" zoomScale="90" zoomScaleNormal="90" zoomScaleSheetLayoutView="100" workbookViewId="0">
      <selection activeCell="N1" sqref="N1:R10"/>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7" max="17" width="17.42578125" customWidth="1"/>
    <col min="18" max="18" width="16.28515625" customWidth="1"/>
  </cols>
  <sheetData>
    <row r="1" spans="1:18" ht="36.75" customHeight="1" thickBot="1" x14ac:dyDescent="0.3">
      <c r="A1" s="327" t="s">
        <v>295</v>
      </c>
      <c r="B1" s="328"/>
      <c r="C1" s="328"/>
      <c r="D1" s="328"/>
      <c r="E1" s="328"/>
      <c r="F1" s="328"/>
      <c r="G1" s="328"/>
      <c r="H1" s="328"/>
      <c r="I1" s="328"/>
      <c r="J1" s="328"/>
      <c r="K1" s="328"/>
      <c r="L1" s="328"/>
      <c r="M1" s="328"/>
      <c r="N1" s="352" t="s">
        <v>298</v>
      </c>
      <c r="O1" s="352"/>
      <c r="P1" s="352"/>
      <c r="Q1" s="352"/>
      <c r="R1" s="352"/>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0</v>
      </c>
      <c r="Q3" s="30">
        <f>J15+J16+J17+J18+J19+J20</f>
        <v>0</v>
      </c>
      <c r="R3" s="31">
        <f>P3+Q3</f>
        <v>0</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0</v>
      </c>
      <c r="Q5" s="35">
        <f>Q3+Q4</f>
        <v>0</v>
      </c>
      <c r="R5" s="36">
        <f>R3+R4</f>
        <v>0</v>
      </c>
    </row>
    <row r="6" spans="1:18" ht="15.75" thickBot="1" x14ac:dyDescent="0.3">
      <c r="A6" s="3"/>
      <c r="B6" s="4"/>
      <c r="C6" s="4"/>
      <c r="D6" s="29"/>
      <c r="E6" s="29"/>
      <c r="F6" s="29"/>
      <c r="G6" s="29"/>
      <c r="H6" s="29"/>
      <c r="I6" s="29"/>
      <c r="J6" s="29"/>
      <c r="K6" s="29"/>
      <c r="L6" s="29"/>
      <c r="M6" s="4"/>
      <c r="N6" s="306" t="s">
        <v>24</v>
      </c>
      <c r="O6" s="10" t="s">
        <v>25</v>
      </c>
      <c r="P6" s="30">
        <f>I26+I27+I28+I29</f>
        <v>0</v>
      </c>
      <c r="Q6" s="30">
        <f>J26+J27+J28+J29+K26+K27+K28+K29+L26+L27+L28+L29</f>
        <v>0</v>
      </c>
      <c r="R6" s="32">
        <f>P6+Q6</f>
        <v>0</v>
      </c>
    </row>
    <row r="7" spans="1:18" ht="15.75" thickBot="1" x14ac:dyDescent="0.3">
      <c r="A7" s="3"/>
      <c r="B7" s="4"/>
      <c r="C7" s="4"/>
      <c r="D7" s="29"/>
      <c r="E7" s="29"/>
      <c r="F7" s="29"/>
      <c r="G7" s="29"/>
      <c r="H7" s="29"/>
      <c r="I7" s="29"/>
      <c r="J7" s="29"/>
      <c r="K7" s="29"/>
      <c r="L7" s="29"/>
      <c r="M7" s="4"/>
      <c r="N7" s="305"/>
      <c r="O7" s="129" t="s">
        <v>288</v>
      </c>
      <c r="P7" s="177">
        <f>P6</f>
        <v>0</v>
      </c>
      <c r="Q7" s="177">
        <f>J26+J27+J28+J29+K26+K27+K28+K29+L26+L27+L28+L29</f>
        <v>0</v>
      </c>
      <c r="R7" s="178">
        <f>R6</f>
        <v>0</v>
      </c>
    </row>
    <row r="8" spans="1:18" ht="15.75" thickBot="1" x14ac:dyDescent="0.3">
      <c r="A8" s="3"/>
      <c r="B8" s="4"/>
      <c r="C8" s="4"/>
      <c r="D8" s="29"/>
      <c r="E8" s="29"/>
      <c r="F8" s="29"/>
      <c r="G8" s="29"/>
      <c r="H8" s="29"/>
      <c r="I8" s="29"/>
      <c r="J8" s="29"/>
      <c r="K8" s="29"/>
      <c r="L8" s="29"/>
      <c r="M8" s="4"/>
      <c r="N8" s="306" t="s">
        <v>26</v>
      </c>
      <c r="O8" s="13" t="s">
        <v>27</v>
      </c>
      <c r="P8" s="33">
        <f>I21+I22+I23+I24+I25</f>
        <v>0</v>
      </c>
      <c r="Q8" s="33">
        <f>J21+J22+J23+J24+J25</f>
        <v>0</v>
      </c>
      <c r="R8" s="34">
        <f>P8+Q8</f>
        <v>0</v>
      </c>
    </row>
    <row r="9" spans="1:18" ht="15.75" thickBot="1" x14ac:dyDescent="0.3">
      <c r="A9" s="3"/>
      <c r="B9" s="4"/>
      <c r="C9" s="4"/>
      <c r="D9" s="29"/>
      <c r="E9" s="29"/>
      <c r="F9" s="29"/>
      <c r="G9" s="29"/>
      <c r="H9" s="29"/>
      <c r="I9" s="29"/>
      <c r="J9" s="29"/>
      <c r="K9" s="29"/>
      <c r="L9" s="29"/>
      <c r="M9" s="4"/>
      <c r="N9" s="307"/>
      <c r="O9" s="12" t="s">
        <v>28</v>
      </c>
      <c r="P9" s="177">
        <f>P8</f>
        <v>0</v>
      </c>
      <c r="Q9" s="177">
        <f>Q8</f>
        <v>0</v>
      </c>
      <c r="R9" s="177">
        <f>R8</f>
        <v>0</v>
      </c>
    </row>
    <row r="10" spans="1:18" ht="16.5" thickTop="1" thickBot="1" x14ac:dyDescent="0.3">
      <c r="A10" s="330" t="s">
        <v>175</v>
      </c>
      <c r="B10" s="329"/>
      <c r="C10" s="329"/>
      <c r="D10" s="329"/>
      <c r="E10" s="329"/>
      <c r="F10" s="329"/>
      <c r="G10" s="329"/>
      <c r="H10" s="329"/>
      <c r="I10" s="329"/>
      <c r="J10" s="329"/>
      <c r="K10" s="329"/>
      <c r="L10" s="329"/>
      <c r="M10" s="329"/>
      <c r="N10" s="14" t="s">
        <v>29</v>
      </c>
      <c r="O10" s="15" t="s">
        <v>0</v>
      </c>
      <c r="P10" s="37">
        <f>P5+P7+P9</f>
        <v>0</v>
      </c>
      <c r="Q10" s="37">
        <f>Q5+Q7+Q9</f>
        <v>0</v>
      </c>
      <c r="R10" s="38">
        <f>R5+R7+R9</f>
        <v>0</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6.5" customHeight="1" thickBot="1" x14ac:dyDescent="0.3">
      <c r="A15" s="65" t="s">
        <v>64</v>
      </c>
      <c r="B15" s="66" t="s">
        <v>63</v>
      </c>
      <c r="C15" s="66" t="s">
        <v>43</v>
      </c>
      <c r="D15" s="132" t="s">
        <v>21</v>
      </c>
      <c r="E15" s="102">
        <v>4</v>
      </c>
      <c r="F15" s="132" t="s">
        <v>200</v>
      </c>
      <c r="G15" s="133" t="s">
        <v>201</v>
      </c>
      <c r="H15" s="105">
        <f>I15+J15+K15+L15</f>
        <v>0</v>
      </c>
      <c r="I15" s="105">
        <f t="shared" ref="I15:I20" si="0">0.85*O15</f>
        <v>0</v>
      </c>
      <c r="J15" s="105">
        <f t="shared" ref="J15:J20" si="1">0.15*O15</f>
        <v>0</v>
      </c>
      <c r="K15" s="105">
        <f>((I15+J15)/95)*5</f>
        <v>0</v>
      </c>
      <c r="L15" s="105">
        <v>0</v>
      </c>
      <c r="M15" s="106">
        <v>0</v>
      </c>
      <c r="N15" s="42"/>
      <c r="O15" s="52">
        <v>0</v>
      </c>
      <c r="P15" s="42"/>
      <c r="Q15" s="42"/>
      <c r="R15" s="53"/>
    </row>
    <row r="16" spans="1:18" ht="41.25" customHeight="1" thickBot="1" x14ac:dyDescent="0.3">
      <c r="A16" s="18" t="s">
        <v>84</v>
      </c>
      <c r="B16" s="19" t="s">
        <v>185</v>
      </c>
      <c r="C16" s="19" t="s">
        <v>43</v>
      </c>
      <c r="D16" s="134" t="s">
        <v>21</v>
      </c>
      <c r="E16" s="107">
        <v>4</v>
      </c>
      <c r="F16" s="134" t="s">
        <v>200</v>
      </c>
      <c r="G16" s="135" t="s">
        <v>201</v>
      </c>
      <c r="H16" s="110">
        <f>I16+J16+K16+L16</f>
        <v>0</v>
      </c>
      <c r="I16" s="110">
        <f t="shared" si="0"/>
        <v>0</v>
      </c>
      <c r="J16" s="110">
        <f t="shared" si="1"/>
        <v>0</v>
      </c>
      <c r="K16" s="110">
        <f>((I16+J16)/95)*5</f>
        <v>0</v>
      </c>
      <c r="L16" s="110">
        <v>0</v>
      </c>
      <c r="M16" s="111">
        <v>0</v>
      </c>
      <c r="N16" s="44"/>
      <c r="O16" s="54">
        <v>0</v>
      </c>
      <c r="P16" s="44"/>
      <c r="Q16" s="44"/>
      <c r="R16" s="55"/>
    </row>
    <row r="17" spans="1:18" ht="45.75" customHeight="1" thickBot="1" x14ac:dyDescent="0.3">
      <c r="A17" s="18" t="s">
        <v>91</v>
      </c>
      <c r="B17" s="19" t="s">
        <v>184</v>
      </c>
      <c r="C17" s="19" t="s">
        <v>43</v>
      </c>
      <c r="D17" s="134" t="s">
        <v>21</v>
      </c>
      <c r="E17" s="107">
        <v>4</v>
      </c>
      <c r="F17" s="134" t="s">
        <v>200</v>
      </c>
      <c r="G17" s="135" t="s">
        <v>201</v>
      </c>
      <c r="H17" s="110">
        <f t="shared" ref="H17:H29" si="2">I17+J17+K17+L17</f>
        <v>0</v>
      </c>
      <c r="I17" s="110">
        <f t="shared" si="0"/>
        <v>0</v>
      </c>
      <c r="J17" s="110">
        <f t="shared" si="1"/>
        <v>0</v>
      </c>
      <c r="K17" s="110">
        <f>((I17+J17)/95)*5</f>
        <v>0</v>
      </c>
      <c r="L17" s="110">
        <v>0</v>
      </c>
      <c r="M17" s="111">
        <v>0</v>
      </c>
      <c r="N17" s="44"/>
      <c r="O17" s="54">
        <v>0</v>
      </c>
      <c r="P17" s="44"/>
      <c r="Q17" s="44"/>
      <c r="R17" s="55"/>
    </row>
    <row r="18" spans="1:18" ht="51" customHeight="1" thickBot="1" x14ac:dyDescent="0.3">
      <c r="A18" s="18" t="s">
        <v>106</v>
      </c>
      <c r="B18" s="19" t="s">
        <v>186</v>
      </c>
      <c r="C18" s="19" t="s">
        <v>43</v>
      </c>
      <c r="D18" s="134" t="s">
        <v>21</v>
      </c>
      <c r="E18" s="107">
        <v>4</v>
      </c>
      <c r="F18" s="134" t="s">
        <v>200</v>
      </c>
      <c r="G18" s="135" t="s">
        <v>201</v>
      </c>
      <c r="H18" s="110">
        <f t="shared" si="2"/>
        <v>0</v>
      </c>
      <c r="I18" s="110">
        <f t="shared" si="0"/>
        <v>0</v>
      </c>
      <c r="J18" s="110">
        <f t="shared" si="1"/>
        <v>0</v>
      </c>
      <c r="K18" s="110">
        <v>0</v>
      </c>
      <c r="L18" s="110">
        <f>((I18+J18)/95)*5</f>
        <v>0</v>
      </c>
      <c r="M18" s="111">
        <v>0</v>
      </c>
      <c r="N18" s="44"/>
      <c r="O18" s="54">
        <v>0</v>
      </c>
      <c r="P18" s="44"/>
      <c r="Q18" s="44"/>
      <c r="R18" s="55"/>
    </row>
    <row r="19" spans="1:18" ht="45.75" customHeight="1" thickBot="1" x14ac:dyDescent="0.3">
      <c r="A19" s="18" t="s">
        <v>124</v>
      </c>
      <c r="B19" s="19" t="s">
        <v>187</v>
      </c>
      <c r="C19" s="19" t="s">
        <v>43</v>
      </c>
      <c r="D19" s="134" t="s">
        <v>21</v>
      </c>
      <c r="E19" s="107">
        <v>4</v>
      </c>
      <c r="F19" s="134" t="s">
        <v>200</v>
      </c>
      <c r="G19" s="135" t="s">
        <v>201</v>
      </c>
      <c r="H19" s="110">
        <f t="shared" si="2"/>
        <v>0</v>
      </c>
      <c r="I19" s="110">
        <f t="shared" si="0"/>
        <v>0</v>
      </c>
      <c r="J19" s="110">
        <f t="shared" si="1"/>
        <v>0</v>
      </c>
      <c r="K19" s="110">
        <f>(((I19+J19)/95)*5)/10*9</f>
        <v>0</v>
      </c>
      <c r="L19" s="110">
        <f>(((I19+J19)/95)*5)/10</f>
        <v>0</v>
      </c>
      <c r="M19" s="111">
        <v>0</v>
      </c>
      <c r="N19" s="44"/>
      <c r="O19" s="54">
        <v>0</v>
      </c>
      <c r="P19" s="44"/>
      <c r="Q19" s="44"/>
      <c r="R19" s="55"/>
    </row>
    <row r="20" spans="1:18" ht="54" customHeight="1" thickBot="1" x14ac:dyDescent="0.3">
      <c r="A20" s="26" t="s">
        <v>135</v>
      </c>
      <c r="B20" s="27" t="s">
        <v>188</v>
      </c>
      <c r="C20" s="27" t="s">
        <v>43</v>
      </c>
      <c r="D20" s="136" t="s">
        <v>21</v>
      </c>
      <c r="E20" s="137">
        <v>4</v>
      </c>
      <c r="F20" s="136" t="s">
        <v>200</v>
      </c>
      <c r="G20" s="138" t="s">
        <v>201</v>
      </c>
      <c r="H20" s="139">
        <f t="shared" si="2"/>
        <v>0</v>
      </c>
      <c r="I20" s="139">
        <f t="shared" si="0"/>
        <v>0</v>
      </c>
      <c r="J20" s="139">
        <f t="shared" si="1"/>
        <v>0</v>
      </c>
      <c r="K20" s="139">
        <f>(((I20+J20)/95)*5)</f>
        <v>0</v>
      </c>
      <c r="L20" s="139">
        <v>0</v>
      </c>
      <c r="M20" s="140">
        <v>0</v>
      </c>
      <c r="N20" s="46"/>
      <c r="O20" s="56">
        <v>0</v>
      </c>
      <c r="P20" s="46"/>
      <c r="Q20" s="57"/>
      <c r="R20" s="58"/>
    </row>
    <row r="21" spans="1:18" ht="36" customHeight="1" thickBot="1" x14ac:dyDescent="0.3">
      <c r="A21" s="72" t="s">
        <v>143</v>
      </c>
      <c r="B21" s="66" t="s">
        <v>189</v>
      </c>
      <c r="C21" s="66" t="s">
        <v>43</v>
      </c>
      <c r="D21" s="132" t="s">
        <v>27</v>
      </c>
      <c r="E21" s="102">
        <v>6</v>
      </c>
      <c r="F21" s="132" t="s">
        <v>202</v>
      </c>
      <c r="G21" s="141" t="s">
        <v>203</v>
      </c>
      <c r="H21" s="105">
        <f t="shared" si="2"/>
        <v>0</v>
      </c>
      <c r="I21" s="105">
        <f t="shared" ref="I21:I29" si="3">0.75*O21</f>
        <v>0</v>
      </c>
      <c r="J21" s="105">
        <f t="shared" ref="J21:J29" si="4">0.25*O21</f>
        <v>0</v>
      </c>
      <c r="K21" s="105">
        <v>0</v>
      </c>
      <c r="L21" s="105">
        <f t="shared" ref="L21:L29" si="5">((I21+J21)/(100-P21))*P21</f>
        <v>0</v>
      </c>
      <c r="M21" s="106">
        <v>0</v>
      </c>
      <c r="N21" s="42"/>
      <c r="O21" s="52">
        <v>0</v>
      </c>
      <c r="P21" s="59">
        <v>50</v>
      </c>
      <c r="Q21" s="60"/>
      <c r="R21" s="53"/>
    </row>
    <row r="22" spans="1:18" ht="39" customHeight="1" thickBot="1" x14ac:dyDescent="0.3">
      <c r="A22" s="18" t="s">
        <v>143</v>
      </c>
      <c r="B22" s="19" t="s">
        <v>190</v>
      </c>
      <c r="C22" s="19" t="s">
        <v>43</v>
      </c>
      <c r="D22" s="134" t="s">
        <v>27</v>
      </c>
      <c r="E22" s="107">
        <v>6</v>
      </c>
      <c r="F22" s="134" t="s">
        <v>202</v>
      </c>
      <c r="G22" s="138" t="s">
        <v>203</v>
      </c>
      <c r="H22" s="110">
        <f t="shared" si="2"/>
        <v>0</v>
      </c>
      <c r="I22" s="110">
        <f t="shared" si="3"/>
        <v>0</v>
      </c>
      <c r="J22" s="110">
        <f t="shared" si="4"/>
        <v>0</v>
      </c>
      <c r="K22" s="110">
        <v>0</v>
      </c>
      <c r="L22" s="110">
        <f t="shared" si="5"/>
        <v>0</v>
      </c>
      <c r="M22" s="111">
        <v>0</v>
      </c>
      <c r="N22" s="44"/>
      <c r="O22" s="54">
        <v>0</v>
      </c>
      <c r="P22" s="61">
        <v>20</v>
      </c>
      <c r="Q22" s="62"/>
      <c r="R22" s="55"/>
    </row>
    <row r="23" spans="1:18" ht="39" customHeight="1" thickBot="1" x14ac:dyDescent="0.3">
      <c r="A23" s="18" t="s">
        <v>150</v>
      </c>
      <c r="B23" s="19" t="s">
        <v>191</v>
      </c>
      <c r="C23" s="19" t="s">
        <v>43</v>
      </c>
      <c r="D23" s="134" t="s">
        <v>27</v>
      </c>
      <c r="E23" s="107">
        <v>6</v>
      </c>
      <c r="F23" s="134" t="s">
        <v>202</v>
      </c>
      <c r="G23" s="138" t="s">
        <v>203</v>
      </c>
      <c r="H23" s="110">
        <f t="shared" si="2"/>
        <v>0</v>
      </c>
      <c r="I23" s="110">
        <f t="shared" si="3"/>
        <v>0</v>
      </c>
      <c r="J23" s="110">
        <f t="shared" si="4"/>
        <v>0</v>
      </c>
      <c r="K23" s="110">
        <v>0</v>
      </c>
      <c r="L23" s="110">
        <f t="shared" si="5"/>
        <v>0</v>
      </c>
      <c r="M23" s="111">
        <v>0</v>
      </c>
      <c r="N23" s="44"/>
      <c r="O23" s="54">
        <v>0</v>
      </c>
      <c r="P23" s="61">
        <v>55</v>
      </c>
      <c r="Q23" s="62"/>
      <c r="R23" s="55"/>
    </row>
    <row r="24" spans="1:18" ht="39" customHeight="1" thickBot="1" x14ac:dyDescent="0.3">
      <c r="A24" s="18" t="s">
        <v>143</v>
      </c>
      <c r="B24" s="19" t="s">
        <v>192</v>
      </c>
      <c r="C24" s="19" t="s">
        <v>43</v>
      </c>
      <c r="D24" s="134" t="s">
        <v>27</v>
      </c>
      <c r="E24" s="107">
        <v>6</v>
      </c>
      <c r="F24" s="134" t="s">
        <v>202</v>
      </c>
      <c r="G24" s="138" t="s">
        <v>203</v>
      </c>
      <c r="H24" s="110">
        <f t="shared" si="2"/>
        <v>0</v>
      </c>
      <c r="I24" s="110">
        <f t="shared" si="3"/>
        <v>0</v>
      </c>
      <c r="J24" s="110">
        <f t="shared" si="4"/>
        <v>0</v>
      </c>
      <c r="K24" s="110">
        <v>0</v>
      </c>
      <c r="L24" s="110">
        <f t="shared" si="5"/>
        <v>0</v>
      </c>
      <c r="M24" s="111">
        <v>0</v>
      </c>
      <c r="N24" s="44"/>
      <c r="O24" s="54">
        <v>0</v>
      </c>
      <c r="P24" s="61">
        <v>50</v>
      </c>
      <c r="Q24" s="62"/>
      <c r="R24" s="55"/>
    </row>
    <row r="25" spans="1:18" ht="39" customHeight="1" thickBot="1" x14ac:dyDescent="0.3">
      <c r="A25" s="26" t="s">
        <v>153</v>
      </c>
      <c r="B25" s="27" t="s">
        <v>193</v>
      </c>
      <c r="C25" s="27" t="s">
        <v>43</v>
      </c>
      <c r="D25" s="136" t="s">
        <v>27</v>
      </c>
      <c r="E25" s="137">
        <v>6</v>
      </c>
      <c r="F25" s="136" t="s">
        <v>202</v>
      </c>
      <c r="G25" s="142" t="s">
        <v>204</v>
      </c>
      <c r="H25" s="139">
        <f t="shared" si="2"/>
        <v>0</v>
      </c>
      <c r="I25" s="139">
        <f t="shared" si="3"/>
        <v>0</v>
      </c>
      <c r="J25" s="139">
        <f t="shared" si="4"/>
        <v>0</v>
      </c>
      <c r="K25" s="139">
        <v>0</v>
      </c>
      <c r="L25" s="139">
        <f t="shared" si="5"/>
        <v>0</v>
      </c>
      <c r="M25" s="140">
        <v>0</v>
      </c>
      <c r="N25" s="46"/>
      <c r="O25" s="56">
        <v>0</v>
      </c>
      <c r="P25" s="63">
        <v>20</v>
      </c>
      <c r="Q25" s="64"/>
      <c r="R25" s="58"/>
    </row>
    <row r="26" spans="1:18" ht="46.5" customHeight="1" thickBot="1" x14ac:dyDescent="0.3">
      <c r="A26" s="65" t="s">
        <v>154</v>
      </c>
      <c r="B26" s="66" t="s">
        <v>194</v>
      </c>
      <c r="C26" s="66" t="s">
        <v>43</v>
      </c>
      <c r="D26" s="132" t="s">
        <v>44</v>
      </c>
      <c r="E26" s="117" t="s">
        <v>47</v>
      </c>
      <c r="F26" s="102">
        <v>3</v>
      </c>
      <c r="G26" s="141" t="s">
        <v>205</v>
      </c>
      <c r="H26" s="105">
        <f t="shared" si="2"/>
        <v>0</v>
      </c>
      <c r="I26" s="105">
        <f t="shared" si="3"/>
        <v>0</v>
      </c>
      <c r="J26" s="105">
        <f t="shared" si="4"/>
        <v>0</v>
      </c>
      <c r="K26" s="105">
        <v>0</v>
      </c>
      <c r="L26" s="105">
        <f t="shared" si="5"/>
        <v>0</v>
      </c>
      <c r="M26" s="106">
        <v>0</v>
      </c>
      <c r="N26" s="42"/>
      <c r="O26" s="52">
        <v>0</v>
      </c>
      <c r="P26" s="59">
        <v>0</v>
      </c>
      <c r="Q26" s="73" t="s">
        <v>45</v>
      </c>
      <c r="R26" s="53"/>
    </row>
    <row r="27" spans="1:18" ht="84" customHeight="1" thickBot="1" x14ac:dyDescent="0.3">
      <c r="A27" s="18" t="s">
        <v>91</v>
      </c>
      <c r="B27" s="19" t="s">
        <v>195</v>
      </c>
      <c r="C27" s="19" t="s">
        <v>43</v>
      </c>
      <c r="D27" s="134" t="s">
        <v>44</v>
      </c>
      <c r="E27" s="119">
        <v>2</v>
      </c>
      <c r="F27" s="107">
        <v>3</v>
      </c>
      <c r="G27" s="138" t="s">
        <v>48</v>
      </c>
      <c r="H27" s="110">
        <f t="shared" si="2"/>
        <v>0</v>
      </c>
      <c r="I27" s="110">
        <f t="shared" si="3"/>
        <v>0</v>
      </c>
      <c r="J27" s="110">
        <f t="shared" si="4"/>
        <v>0</v>
      </c>
      <c r="K27" s="110">
        <v>0</v>
      </c>
      <c r="L27" s="110">
        <f t="shared" si="5"/>
        <v>0</v>
      </c>
      <c r="M27" s="111">
        <v>0</v>
      </c>
      <c r="N27" s="44"/>
      <c r="O27" s="54">
        <v>0</v>
      </c>
      <c r="P27" s="61">
        <v>0</v>
      </c>
      <c r="Q27" s="74" t="s">
        <v>199</v>
      </c>
      <c r="R27" s="55"/>
    </row>
    <row r="28" spans="1:18" ht="49.5" customHeight="1" thickBot="1" x14ac:dyDescent="0.3">
      <c r="A28" s="18" t="s">
        <v>154</v>
      </c>
      <c r="B28" s="19" t="s">
        <v>196</v>
      </c>
      <c r="C28" s="19" t="s">
        <v>43</v>
      </c>
      <c r="D28" s="134" t="s">
        <v>44</v>
      </c>
      <c r="E28" s="119" t="s">
        <v>47</v>
      </c>
      <c r="F28" s="107">
        <v>3</v>
      </c>
      <c r="G28" s="138" t="s">
        <v>48</v>
      </c>
      <c r="H28" s="110">
        <f t="shared" si="2"/>
        <v>0</v>
      </c>
      <c r="I28" s="110">
        <f t="shared" si="3"/>
        <v>0</v>
      </c>
      <c r="J28" s="110">
        <f t="shared" si="4"/>
        <v>0</v>
      </c>
      <c r="K28" s="110">
        <v>0</v>
      </c>
      <c r="L28" s="110">
        <f t="shared" si="5"/>
        <v>0</v>
      </c>
      <c r="M28" s="111">
        <v>0</v>
      </c>
      <c r="N28" s="44"/>
      <c r="O28" s="54">
        <v>0</v>
      </c>
      <c r="P28" s="61">
        <v>0</v>
      </c>
      <c r="Q28" s="74" t="s">
        <v>49</v>
      </c>
      <c r="R28" s="55"/>
    </row>
    <row r="29" spans="1:18" ht="51" customHeight="1" thickBot="1" x14ac:dyDescent="0.3">
      <c r="A29" s="26" t="s">
        <v>172</v>
      </c>
      <c r="B29" s="27" t="s">
        <v>197</v>
      </c>
      <c r="C29" s="27" t="s">
        <v>43</v>
      </c>
      <c r="D29" s="143" t="s">
        <v>44</v>
      </c>
      <c r="E29" s="121" t="s">
        <v>47</v>
      </c>
      <c r="F29" s="112">
        <v>3</v>
      </c>
      <c r="G29" s="144" t="s">
        <v>48</v>
      </c>
      <c r="H29" s="115">
        <f t="shared" si="2"/>
        <v>0</v>
      </c>
      <c r="I29" s="115">
        <f t="shared" si="3"/>
        <v>0</v>
      </c>
      <c r="J29" s="115">
        <f t="shared" si="4"/>
        <v>0</v>
      </c>
      <c r="K29" s="115">
        <v>0</v>
      </c>
      <c r="L29" s="115">
        <f t="shared" si="5"/>
        <v>0</v>
      </c>
      <c r="M29" s="116">
        <v>0</v>
      </c>
      <c r="N29" s="46"/>
      <c r="O29" s="56">
        <v>0</v>
      </c>
      <c r="P29" s="63">
        <v>15</v>
      </c>
      <c r="Q29" s="75" t="s">
        <v>50</v>
      </c>
      <c r="R29" s="58"/>
    </row>
    <row r="30" spans="1:18" ht="15.75" thickBot="1" x14ac:dyDescent="0.3">
      <c r="A30" s="309" t="s">
        <v>0</v>
      </c>
      <c r="B30" s="310"/>
      <c r="C30" s="310"/>
      <c r="D30" s="310"/>
      <c r="E30" s="310"/>
      <c r="F30" s="311"/>
      <c r="G30" s="22"/>
      <c r="H30" s="23">
        <f t="shared" ref="H30:M30" si="6">SUM(H15:H29)</f>
        <v>0</v>
      </c>
      <c r="I30" s="23">
        <f t="shared" si="6"/>
        <v>0</v>
      </c>
      <c r="J30" s="23">
        <f t="shared" si="6"/>
        <v>0</v>
      </c>
      <c r="K30" s="23">
        <f t="shared" si="6"/>
        <v>0</v>
      </c>
      <c r="L30" s="23">
        <f t="shared" si="6"/>
        <v>0</v>
      </c>
      <c r="M30" s="23">
        <f t="shared" si="6"/>
        <v>0</v>
      </c>
      <c r="O30" s="21">
        <f>I30+J30</f>
        <v>0</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60" orientation="landscape" r:id="rId1"/>
  <rowBreaks count="1" manualBreakCount="1">
    <brk id="25"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2" zoomScaleNormal="100" zoomScaleSheetLayoutView="100" workbookViewId="0">
      <selection activeCell="P6" sqref="P6"/>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85546875" customWidth="1"/>
    <col min="17" max="17" width="15.42578125" customWidth="1"/>
    <col min="18" max="18" width="15.140625" customWidth="1"/>
  </cols>
  <sheetData>
    <row r="1" spans="1:18" ht="35.25" customHeight="1" thickBot="1" x14ac:dyDescent="0.3">
      <c r="A1" s="327" t="s">
        <v>294</v>
      </c>
      <c r="B1" s="328"/>
      <c r="C1" s="328"/>
      <c r="D1" s="328"/>
      <c r="E1" s="328"/>
      <c r="F1" s="328"/>
      <c r="G1" s="328"/>
      <c r="H1" s="328"/>
      <c r="I1" s="328"/>
      <c r="J1" s="328"/>
      <c r="K1" s="328"/>
      <c r="L1" s="328"/>
      <c r="M1" s="328"/>
      <c r="N1" s="352" t="s">
        <v>299</v>
      </c>
      <c r="O1" s="352"/>
      <c r="P1" s="352"/>
      <c r="Q1" s="352"/>
      <c r="R1" s="352"/>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11500</v>
      </c>
      <c r="Q3" s="30">
        <f>J15+J16+J17+J18+J19+J20</f>
        <v>0</v>
      </c>
      <c r="R3" s="31">
        <f>P3+Q3</f>
        <v>11500</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11500</v>
      </c>
      <c r="Q5" s="35">
        <f>Q3+Q4</f>
        <v>0</v>
      </c>
      <c r="R5" s="36">
        <f>R3+R4</f>
        <v>11500</v>
      </c>
    </row>
    <row r="6" spans="1:18" ht="15.75" thickBot="1" x14ac:dyDescent="0.3">
      <c r="A6" s="3"/>
      <c r="B6" s="4"/>
      <c r="C6" s="4"/>
      <c r="D6" s="29"/>
      <c r="E6" s="29"/>
      <c r="F6" s="29"/>
      <c r="G6" s="29"/>
      <c r="H6" s="29"/>
      <c r="I6" s="29"/>
      <c r="J6" s="29"/>
      <c r="K6" s="29"/>
      <c r="L6" s="29"/>
      <c r="M6" s="4"/>
      <c r="N6" s="306" t="s">
        <v>24</v>
      </c>
      <c r="O6" s="10" t="s">
        <v>25</v>
      </c>
      <c r="P6" s="30">
        <f>I26+I27+I28+I29</f>
        <v>3328.2939999999999</v>
      </c>
      <c r="Q6" s="30">
        <f>J26+J27+J28+J29+0.01</f>
        <v>587.35599999999999</v>
      </c>
      <c r="R6" s="32">
        <f>P6+Q6</f>
        <v>3915.6499999999996</v>
      </c>
    </row>
    <row r="7" spans="1:18" ht="15.75" thickBot="1" x14ac:dyDescent="0.3">
      <c r="A7" s="3"/>
      <c r="B7" s="4"/>
      <c r="C7" s="4"/>
      <c r="D7" s="29"/>
      <c r="E7" s="29"/>
      <c r="F7" s="29"/>
      <c r="G7" s="29"/>
      <c r="H7" s="29"/>
      <c r="I7" s="29"/>
      <c r="J7" s="29"/>
      <c r="K7" s="29"/>
      <c r="L7" s="29"/>
      <c r="M7" s="4"/>
      <c r="N7" s="305"/>
      <c r="O7" s="129" t="s">
        <v>288</v>
      </c>
      <c r="P7" s="177">
        <f>P6</f>
        <v>3328.2939999999999</v>
      </c>
      <c r="Q7" s="177">
        <f>Q6</f>
        <v>587.35599999999999</v>
      </c>
      <c r="R7" s="178">
        <f>R6</f>
        <v>3915.6499999999996</v>
      </c>
    </row>
    <row r="8" spans="1:18" ht="15.75" thickBot="1" x14ac:dyDescent="0.3">
      <c r="A8" s="3"/>
      <c r="B8" s="4"/>
      <c r="C8" s="4"/>
      <c r="D8" s="29"/>
      <c r="E8" s="29"/>
      <c r="F8" s="29"/>
      <c r="G8" s="29"/>
      <c r="H8" s="29"/>
      <c r="I8" s="29"/>
      <c r="J8" s="29"/>
      <c r="K8" s="29"/>
      <c r="L8" s="29"/>
      <c r="M8" s="4"/>
      <c r="N8" s="306" t="s">
        <v>26</v>
      </c>
      <c r="O8" s="13" t="s">
        <v>27</v>
      </c>
      <c r="P8" s="33">
        <f>I21+I22+I23+I24+I25</f>
        <v>10974.51</v>
      </c>
      <c r="Q8" s="33">
        <f>J21+J22+J23+J24+J25</f>
        <v>3658.17</v>
      </c>
      <c r="R8" s="34">
        <f>P8+Q8</f>
        <v>14632.68</v>
      </c>
    </row>
    <row r="9" spans="1:18" ht="15.75" thickBot="1" x14ac:dyDescent="0.3">
      <c r="A9" s="3"/>
      <c r="B9" s="4"/>
      <c r="C9" s="4"/>
      <c r="D9" s="29"/>
      <c r="E9" s="29"/>
      <c r="F9" s="29"/>
      <c r="G9" s="29"/>
      <c r="H9" s="29"/>
      <c r="I9" s="29"/>
      <c r="J9" s="29"/>
      <c r="K9" s="29"/>
      <c r="L9" s="29"/>
      <c r="M9" s="4"/>
      <c r="N9" s="307"/>
      <c r="O9" s="12" t="s">
        <v>28</v>
      </c>
      <c r="P9" s="177">
        <f>P8</f>
        <v>10974.51</v>
      </c>
      <c r="Q9" s="177">
        <f>Q8</f>
        <v>3658.17</v>
      </c>
      <c r="R9" s="177">
        <f>R8</f>
        <v>14632.68</v>
      </c>
    </row>
    <row r="10" spans="1:18" ht="16.5" thickTop="1" thickBot="1" x14ac:dyDescent="0.3">
      <c r="A10" s="330" t="s">
        <v>176</v>
      </c>
      <c r="B10" s="329"/>
      <c r="C10" s="329"/>
      <c r="D10" s="329"/>
      <c r="E10" s="329"/>
      <c r="F10" s="329"/>
      <c r="G10" s="329"/>
      <c r="H10" s="329"/>
      <c r="I10" s="329"/>
      <c r="J10" s="329"/>
      <c r="K10" s="329"/>
      <c r="L10" s="329"/>
      <c r="M10" s="329"/>
      <c r="N10" s="14" t="s">
        <v>29</v>
      </c>
      <c r="O10" s="15" t="s">
        <v>0</v>
      </c>
      <c r="P10" s="37">
        <f>P5+P7+P9</f>
        <v>25802.804</v>
      </c>
      <c r="Q10" s="37">
        <f>Q5+Q7+Q9</f>
        <v>4245.5259999999998</v>
      </c>
      <c r="R10" s="38">
        <f>R5+R7+R9</f>
        <v>30048.33</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1.25" customHeight="1" thickBot="1" x14ac:dyDescent="0.3">
      <c r="A15" s="65" t="s">
        <v>64</v>
      </c>
      <c r="B15" s="66" t="s">
        <v>63</v>
      </c>
      <c r="C15" s="66" t="s">
        <v>43</v>
      </c>
      <c r="D15" s="51" t="s">
        <v>21</v>
      </c>
      <c r="E15" s="102">
        <v>4</v>
      </c>
      <c r="F15" s="132" t="s">
        <v>200</v>
      </c>
      <c r="G15" s="133" t="s">
        <v>201</v>
      </c>
      <c r="H15" s="105">
        <f>I15+J15+K15+L15</f>
        <v>6315.79</v>
      </c>
      <c r="I15" s="105">
        <f>5100+900</f>
        <v>6000</v>
      </c>
      <c r="J15" s="105">
        <v>0</v>
      </c>
      <c r="K15" s="105">
        <v>315.79000000000002</v>
      </c>
      <c r="L15" s="105">
        <v>0</v>
      </c>
      <c r="M15" s="106">
        <v>0</v>
      </c>
      <c r="N15" s="42"/>
      <c r="O15" s="52">
        <v>6000</v>
      </c>
      <c r="P15" s="42"/>
      <c r="Q15" s="42"/>
      <c r="R15" s="53"/>
    </row>
    <row r="16" spans="1:18" ht="39" customHeight="1" thickBot="1" x14ac:dyDescent="0.3">
      <c r="A16" s="18" t="s">
        <v>84</v>
      </c>
      <c r="B16" s="19" t="s">
        <v>185</v>
      </c>
      <c r="C16" s="19" t="s">
        <v>43</v>
      </c>
      <c r="D16" s="20" t="s">
        <v>21</v>
      </c>
      <c r="E16" s="107">
        <v>4</v>
      </c>
      <c r="F16" s="134" t="s">
        <v>200</v>
      </c>
      <c r="G16" s="135" t="s">
        <v>201</v>
      </c>
      <c r="H16" s="110">
        <f>I16+J16+K16+L16</f>
        <v>1052.6300000000001</v>
      </c>
      <c r="I16" s="110">
        <f>850+150</f>
        <v>1000</v>
      </c>
      <c r="J16" s="110">
        <v>0</v>
      </c>
      <c r="K16" s="110">
        <v>52.63</v>
      </c>
      <c r="L16" s="110">
        <v>0</v>
      </c>
      <c r="M16" s="111">
        <v>0</v>
      </c>
      <c r="N16" s="44"/>
      <c r="O16" s="54">
        <v>1000</v>
      </c>
      <c r="P16" s="44"/>
      <c r="Q16" s="44"/>
      <c r="R16" s="55"/>
    </row>
    <row r="17" spans="1:18" ht="39" customHeight="1" thickBot="1" x14ac:dyDescent="0.3">
      <c r="A17" s="18" t="s">
        <v>91</v>
      </c>
      <c r="B17" s="19" t="s">
        <v>184</v>
      </c>
      <c r="C17" s="19" t="s">
        <v>43</v>
      </c>
      <c r="D17" s="20" t="s">
        <v>21</v>
      </c>
      <c r="E17" s="107">
        <v>4</v>
      </c>
      <c r="F17" s="134" t="s">
        <v>200</v>
      </c>
      <c r="G17" s="135" t="s">
        <v>201</v>
      </c>
      <c r="H17" s="110">
        <f t="shared" ref="H17:H25" si="0">I17+J17+K17+L17</f>
        <v>2631.58</v>
      </c>
      <c r="I17" s="110">
        <f>2125+375</f>
        <v>2500</v>
      </c>
      <c r="J17" s="110">
        <v>0</v>
      </c>
      <c r="K17" s="110">
        <v>131.58000000000001</v>
      </c>
      <c r="L17" s="110">
        <v>0</v>
      </c>
      <c r="M17" s="111">
        <v>0</v>
      </c>
      <c r="N17" s="44"/>
      <c r="O17" s="54">
        <v>2500</v>
      </c>
      <c r="P17" s="44"/>
      <c r="Q17" s="44"/>
      <c r="R17" s="55"/>
    </row>
    <row r="18" spans="1:18" ht="51" customHeight="1" thickBot="1" x14ac:dyDescent="0.3">
      <c r="A18" s="18" t="s">
        <v>106</v>
      </c>
      <c r="B18" s="19" t="s">
        <v>186</v>
      </c>
      <c r="C18" s="19" t="s">
        <v>43</v>
      </c>
      <c r="D18" s="20" t="s">
        <v>21</v>
      </c>
      <c r="E18" s="107">
        <v>4</v>
      </c>
      <c r="F18" s="134" t="s">
        <v>200</v>
      </c>
      <c r="G18" s="135" t="s">
        <v>201</v>
      </c>
      <c r="H18" s="110">
        <f t="shared" si="0"/>
        <v>1052.6300000000001</v>
      </c>
      <c r="I18" s="110">
        <f>850+150</f>
        <v>1000</v>
      </c>
      <c r="J18" s="110">
        <v>0</v>
      </c>
      <c r="K18" s="110">
        <v>0</v>
      </c>
      <c r="L18" s="110">
        <v>52.63</v>
      </c>
      <c r="M18" s="111">
        <v>0</v>
      </c>
      <c r="N18" s="44"/>
      <c r="O18" s="54">
        <v>1000</v>
      </c>
      <c r="P18" s="44"/>
      <c r="Q18" s="44"/>
      <c r="R18" s="55"/>
    </row>
    <row r="19" spans="1:18" ht="45.75" customHeight="1" thickBot="1" x14ac:dyDescent="0.3">
      <c r="A19" s="18" t="s">
        <v>124</v>
      </c>
      <c r="B19" s="19" t="s">
        <v>187</v>
      </c>
      <c r="C19" s="19" t="s">
        <v>43</v>
      </c>
      <c r="D19" s="20" t="s">
        <v>21</v>
      </c>
      <c r="E19" s="107">
        <v>4</v>
      </c>
      <c r="F19" s="134" t="s">
        <v>200</v>
      </c>
      <c r="G19" s="135" t="s">
        <v>201</v>
      </c>
      <c r="H19" s="110">
        <f t="shared" si="0"/>
        <v>1052.6299999999999</v>
      </c>
      <c r="I19" s="110">
        <f>850+150</f>
        <v>1000</v>
      </c>
      <c r="J19" s="110">
        <v>0</v>
      </c>
      <c r="K19" s="110">
        <v>47.37</v>
      </c>
      <c r="L19" s="110">
        <v>5.26</v>
      </c>
      <c r="M19" s="111">
        <v>0</v>
      </c>
      <c r="N19" s="44"/>
      <c r="O19" s="54">
        <v>1000</v>
      </c>
      <c r="P19" s="44"/>
      <c r="Q19" s="44"/>
      <c r="R19" s="55"/>
    </row>
    <row r="20" spans="1:18" ht="39" customHeight="1" thickBot="1" x14ac:dyDescent="0.3">
      <c r="A20" s="26" t="s">
        <v>135</v>
      </c>
      <c r="B20" s="27" t="s">
        <v>188</v>
      </c>
      <c r="C20" s="27" t="s">
        <v>43</v>
      </c>
      <c r="D20" s="28" t="s">
        <v>21</v>
      </c>
      <c r="E20" s="137">
        <v>4</v>
      </c>
      <c r="F20" s="136" t="s">
        <v>200</v>
      </c>
      <c r="G20" s="138" t="s">
        <v>201</v>
      </c>
      <c r="H20" s="139">
        <f t="shared" si="0"/>
        <v>0</v>
      </c>
      <c r="I20" s="139">
        <f>0.85*O20</f>
        <v>0</v>
      </c>
      <c r="J20" s="139">
        <f>0.15*O20</f>
        <v>0</v>
      </c>
      <c r="K20" s="139">
        <f>(((I20+J20)/95)*5)</f>
        <v>0</v>
      </c>
      <c r="L20" s="139">
        <v>0</v>
      </c>
      <c r="M20" s="140">
        <v>0</v>
      </c>
      <c r="N20" s="46"/>
      <c r="O20" s="56">
        <v>0</v>
      </c>
      <c r="P20" s="46"/>
      <c r="Q20" s="57"/>
      <c r="R20" s="58"/>
    </row>
    <row r="21" spans="1:18" ht="36" customHeight="1" thickBot="1" x14ac:dyDescent="0.3">
      <c r="A21" s="72" t="s">
        <v>143</v>
      </c>
      <c r="B21" s="66" t="s">
        <v>189</v>
      </c>
      <c r="C21" s="66" t="s">
        <v>43</v>
      </c>
      <c r="D21" s="51" t="s">
        <v>27</v>
      </c>
      <c r="E21" s="102">
        <v>6</v>
      </c>
      <c r="F21" s="132" t="s">
        <v>202</v>
      </c>
      <c r="G21" s="141" t="s">
        <v>203</v>
      </c>
      <c r="H21" s="105">
        <f t="shared" si="0"/>
        <v>4000</v>
      </c>
      <c r="I21" s="105">
        <v>1500</v>
      </c>
      <c r="J21" s="105">
        <v>500</v>
      </c>
      <c r="K21" s="105">
        <v>0</v>
      </c>
      <c r="L21" s="105">
        <v>2000</v>
      </c>
      <c r="M21" s="106">
        <v>0</v>
      </c>
      <c r="N21" s="42"/>
      <c r="O21" s="52">
        <v>2000</v>
      </c>
      <c r="P21" s="59">
        <v>50</v>
      </c>
      <c r="Q21" s="60"/>
      <c r="R21" s="53"/>
    </row>
    <row r="22" spans="1:18" ht="39" customHeight="1" thickBot="1" x14ac:dyDescent="0.3">
      <c r="A22" s="18" t="s">
        <v>143</v>
      </c>
      <c r="B22" s="19" t="s">
        <v>190</v>
      </c>
      <c r="C22" s="19" t="s">
        <v>43</v>
      </c>
      <c r="D22" s="20" t="s">
        <v>27</v>
      </c>
      <c r="E22" s="107">
        <v>6</v>
      </c>
      <c r="F22" s="134" t="s">
        <v>202</v>
      </c>
      <c r="G22" s="138" t="s">
        <v>203</v>
      </c>
      <c r="H22" s="110">
        <f t="shared" si="0"/>
        <v>1250</v>
      </c>
      <c r="I22" s="110">
        <v>750</v>
      </c>
      <c r="J22" s="110">
        <v>250</v>
      </c>
      <c r="K22" s="110">
        <v>0</v>
      </c>
      <c r="L22" s="110">
        <v>250</v>
      </c>
      <c r="M22" s="111">
        <v>0</v>
      </c>
      <c r="N22" s="44"/>
      <c r="O22" s="54">
        <v>1000</v>
      </c>
      <c r="P22" s="61">
        <v>20</v>
      </c>
      <c r="Q22" s="62"/>
      <c r="R22" s="55"/>
    </row>
    <row r="23" spans="1:18" ht="39" customHeight="1" thickBot="1" x14ac:dyDescent="0.3">
      <c r="A23" s="18" t="s">
        <v>150</v>
      </c>
      <c r="B23" s="19" t="s">
        <v>191</v>
      </c>
      <c r="C23" s="19" t="s">
        <v>43</v>
      </c>
      <c r="D23" s="20" t="s">
        <v>27</v>
      </c>
      <c r="E23" s="107">
        <v>6</v>
      </c>
      <c r="F23" s="134" t="s">
        <v>202</v>
      </c>
      <c r="G23" s="138" t="s">
        <v>203</v>
      </c>
      <c r="H23" s="110">
        <f t="shared" si="0"/>
        <v>24444.440000000002</v>
      </c>
      <c r="I23" s="110">
        <v>8250</v>
      </c>
      <c r="J23" s="110">
        <v>2750</v>
      </c>
      <c r="K23" s="110">
        <v>0</v>
      </c>
      <c r="L23" s="110">
        <v>13444.44</v>
      </c>
      <c r="M23" s="111">
        <v>0</v>
      </c>
      <c r="N23" s="44"/>
      <c r="O23" s="54">
        <v>11000</v>
      </c>
      <c r="P23" s="61">
        <v>55</v>
      </c>
      <c r="Q23" s="62"/>
      <c r="R23" s="55"/>
    </row>
    <row r="24" spans="1:18" ht="39" customHeight="1" thickBot="1" x14ac:dyDescent="0.3">
      <c r="A24" s="18" t="s">
        <v>143</v>
      </c>
      <c r="B24" s="19" t="s">
        <v>192</v>
      </c>
      <c r="C24" s="19" t="s">
        <v>43</v>
      </c>
      <c r="D24" s="20" t="s">
        <v>27</v>
      </c>
      <c r="E24" s="107">
        <v>6</v>
      </c>
      <c r="F24" s="134" t="s">
        <v>202</v>
      </c>
      <c r="G24" s="138" t="s">
        <v>203</v>
      </c>
      <c r="H24" s="110">
        <f t="shared" si="0"/>
        <v>0</v>
      </c>
      <c r="I24" s="110">
        <f>0.75*O24</f>
        <v>0</v>
      </c>
      <c r="J24" s="110">
        <f>0.25*O24</f>
        <v>0</v>
      </c>
      <c r="K24" s="110">
        <v>0</v>
      </c>
      <c r="L24" s="110">
        <f>((I24+J24)/(100-P24))*P24</f>
        <v>0</v>
      </c>
      <c r="M24" s="111">
        <v>0</v>
      </c>
      <c r="N24" s="44"/>
      <c r="O24" s="54">
        <v>0</v>
      </c>
      <c r="P24" s="61">
        <v>50</v>
      </c>
      <c r="Q24" s="62"/>
      <c r="R24" s="55"/>
    </row>
    <row r="25" spans="1:18" ht="39" customHeight="1" thickBot="1" x14ac:dyDescent="0.3">
      <c r="A25" s="26" t="s">
        <v>153</v>
      </c>
      <c r="B25" s="27" t="s">
        <v>193</v>
      </c>
      <c r="C25" s="27" t="s">
        <v>43</v>
      </c>
      <c r="D25" s="28" t="s">
        <v>27</v>
      </c>
      <c r="E25" s="137">
        <v>6</v>
      </c>
      <c r="F25" s="136" t="s">
        <v>202</v>
      </c>
      <c r="G25" s="142" t="s">
        <v>204</v>
      </c>
      <c r="H25" s="139">
        <f t="shared" si="0"/>
        <v>790.84999999999991</v>
      </c>
      <c r="I25" s="139">
        <f>0.75*O25</f>
        <v>474.51</v>
      </c>
      <c r="J25" s="139">
        <f>0.25*O25</f>
        <v>158.16999999999999</v>
      </c>
      <c r="K25" s="139">
        <v>0</v>
      </c>
      <c r="L25" s="139">
        <f>0.25*O25</f>
        <v>158.16999999999999</v>
      </c>
      <c r="M25" s="140">
        <v>0</v>
      </c>
      <c r="N25" s="46"/>
      <c r="O25" s="56">
        <v>632.67999999999995</v>
      </c>
      <c r="P25" s="63">
        <v>20</v>
      </c>
      <c r="Q25" s="64"/>
      <c r="R25" s="58"/>
    </row>
    <row r="26" spans="1:18" ht="47.25" customHeight="1" thickBot="1" x14ac:dyDescent="0.3">
      <c r="A26" s="65" t="s">
        <v>154</v>
      </c>
      <c r="B26" s="66" t="s">
        <v>194</v>
      </c>
      <c r="C26" s="66" t="s">
        <v>43</v>
      </c>
      <c r="D26" s="132" t="s">
        <v>44</v>
      </c>
      <c r="E26" s="117" t="s">
        <v>47</v>
      </c>
      <c r="F26" s="102">
        <v>3</v>
      </c>
      <c r="G26" s="141" t="s">
        <v>205</v>
      </c>
      <c r="H26" s="105">
        <v>1566.24</v>
      </c>
      <c r="I26" s="105">
        <v>1331.3040000000001</v>
      </c>
      <c r="J26" s="105">
        <v>234.93600000000001</v>
      </c>
      <c r="K26" s="105">
        <v>0</v>
      </c>
      <c r="L26" s="105">
        <v>0</v>
      </c>
      <c r="M26" s="106">
        <v>0</v>
      </c>
      <c r="N26" s="147"/>
      <c r="O26" s="148">
        <v>1566.24</v>
      </c>
      <c r="P26" s="151">
        <v>0</v>
      </c>
      <c r="Q26" s="179" t="s">
        <v>45</v>
      </c>
      <c r="R26" s="180"/>
    </row>
    <row r="27" spans="1:18" ht="84" customHeight="1" thickBot="1" x14ac:dyDescent="0.3">
      <c r="A27" s="18" t="s">
        <v>91</v>
      </c>
      <c r="B27" s="19" t="s">
        <v>195</v>
      </c>
      <c r="C27" s="19" t="s">
        <v>43</v>
      </c>
      <c r="D27" s="134" t="s">
        <v>44</v>
      </c>
      <c r="E27" s="119">
        <v>2</v>
      </c>
      <c r="F27" s="107">
        <v>3</v>
      </c>
      <c r="G27" s="138" t="s">
        <v>48</v>
      </c>
      <c r="H27" s="110">
        <v>391.57</v>
      </c>
      <c r="I27" s="110">
        <v>332.83449999999999</v>
      </c>
      <c r="J27" s="110">
        <v>58.735500000000002</v>
      </c>
      <c r="K27" s="110">
        <v>0</v>
      </c>
      <c r="L27" s="110">
        <v>0</v>
      </c>
      <c r="M27" s="111">
        <v>0</v>
      </c>
      <c r="N27" s="149"/>
      <c r="O27" s="150">
        <v>391.57</v>
      </c>
      <c r="P27" s="152">
        <v>0</v>
      </c>
      <c r="Q27" s="181" t="s">
        <v>199</v>
      </c>
      <c r="R27" s="182"/>
    </row>
    <row r="28" spans="1:18" ht="54.75" customHeight="1" thickBot="1" x14ac:dyDescent="0.3">
      <c r="A28" s="18" t="s">
        <v>154</v>
      </c>
      <c r="B28" s="19" t="s">
        <v>196</v>
      </c>
      <c r="C28" s="19" t="s">
        <v>43</v>
      </c>
      <c r="D28" s="134" t="s">
        <v>44</v>
      </c>
      <c r="E28" s="119" t="s">
        <v>47</v>
      </c>
      <c r="F28" s="107">
        <v>3</v>
      </c>
      <c r="G28" s="138" t="s">
        <v>48</v>
      </c>
      <c r="H28" s="110">
        <v>587.36</v>
      </c>
      <c r="I28" s="110">
        <v>499.25599999999997</v>
      </c>
      <c r="J28" s="110">
        <v>88.103999999999999</v>
      </c>
      <c r="K28" s="110">
        <v>0</v>
      </c>
      <c r="L28" s="110">
        <v>0</v>
      </c>
      <c r="M28" s="111">
        <v>0</v>
      </c>
      <c r="N28" s="149"/>
      <c r="O28" s="150">
        <v>587.39599999999996</v>
      </c>
      <c r="P28" s="152">
        <v>0</v>
      </c>
      <c r="Q28" s="181" t="s">
        <v>49</v>
      </c>
      <c r="R28" s="182"/>
    </row>
    <row r="29" spans="1:18" ht="47.25" customHeight="1" thickBot="1" x14ac:dyDescent="0.3">
      <c r="A29" s="26" t="s">
        <v>172</v>
      </c>
      <c r="B29" s="27" t="s">
        <v>197</v>
      </c>
      <c r="C29" s="27" t="s">
        <v>43</v>
      </c>
      <c r="D29" s="143" t="s">
        <v>44</v>
      </c>
      <c r="E29" s="121" t="s">
        <v>47</v>
      </c>
      <c r="F29" s="112">
        <v>3</v>
      </c>
      <c r="G29" s="144" t="s">
        <v>48</v>
      </c>
      <c r="H29" s="115">
        <v>1370.47</v>
      </c>
      <c r="I29" s="115">
        <v>1164.8995</v>
      </c>
      <c r="J29" s="115">
        <v>205.57050000000001</v>
      </c>
      <c r="K29" s="115">
        <v>0</v>
      </c>
      <c r="L29" s="115">
        <v>0</v>
      </c>
      <c r="M29" s="116">
        <v>0</v>
      </c>
      <c r="N29" s="203"/>
      <c r="O29" s="146">
        <v>1370.47</v>
      </c>
      <c r="P29" s="153">
        <v>15</v>
      </c>
      <c r="Q29" s="204" t="s">
        <v>50</v>
      </c>
      <c r="R29" s="205"/>
    </row>
    <row r="30" spans="1:18" ht="15.75" thickBot="1" x14ac:dyDescent="0.3">
      <c r="A30" s="309" t="s">
        <v>0</v>
      </c>
      <c r="B30" s="310"/>
      <c r="C30" s="310"/>
      <c r="D30" s="310"/>
      <c r="E30" s="310"/>
      <c r="F30" s="311"/>
      <c r="G30" s="22"/>
      <c r="H30" s="23">
        <f t="shared" ref="H30:M30" si="1">SUM(H15:H29)</f>
        <v>46506.19</v>
      </c>
      <c r="I30" s="23">
        <f t="shared" si="1"/>
        <v>25802.804</v>
      </c>
      <c r="J30" s="23">
        <f t="shared" si="1"/>
        <v>4245.5160000000005</v>
      </c>
      <c r="K30" s="23">
        <f t="shared" si="1"/>
        <v>547.37</v>
      </c>
      <c r="L30" s="23">
        <f t="shared" si="1"/>
        <v>15910.5</v>
      </c>
      <c r="M30" s="23">
        <f t="shared" si="1"/>
        <v>0</v>
      </c>
      <c r="O30" s="21">
        <f>I30+J30</f>
        <v>30048.32</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zoomScale="110" zoomScaleNormal="110" zoomScaleSheetLayoutView="100" workbookViewId="0">
      <selection activeCell="P6" sqref="P6"/>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7109375" customWidth="1"/>
    <col min="17" max="17" width="14.85546875" customWidth="1"/>
    <col min="18" max="18" width="14.42578125" customWidth="1"/>
  </cols>
  <sheetData>
    <row r="1" spans="1:18" ht="36.75" customHeight="1" thickBot="1" x14ac:dyDescent="0.3">
      <c r="A1" s="327" t="s">
        <v>293</v>
      </c>
      <c r="B1" s="328"/>
      <c r="C1" s="328"/>
      <c r="D1" s="328"/>
      <c r="E1" s="328"/>
      <c r="F1" s="328"/>
      <c r="G1" s="328"/>
      <c r="H1" s="328"/>
      <c r="I1" s="328"/>
      <c r="J1" s="328"/>
      <c r="K1" s="328"/>
      <c r="L1" s="328"/>
      <c r="M1" s="328"/>
      <c r="N1" s="352" t="s">
        <v>300</v>
      </c>
      <c r="O1" s="352"/>
      <c r="P1" s="352"/>
      <c r="Q1" s="352"/>
      <c r="R1" s="352"/>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2218.8485000000001</v>
      </c>
      <c r="Q6" s="30">
        <f>J26+J27+J28+J29</f>
        <v>391.56150000000002</v>
      </c>
      <c r="R6" s="32">
        <f>P6+Q6</f>
        <v>2610.41</v>
      </c>
    </row>
    <row r="7" spans="1:18" ht="15.75" thickBot="1" x14ac:dyDescent="0.3">
      <c r="A7" s="3"/>
      <c r="B7" s="4"/>
      <c r="C7" s="4"/>
      <c r="D7" s="29"/>
      <c r="E7" s="29"/>
      <c r="F7" s="29"/>
      <c r="G7" s="29"/>
      <c r="H7" s="29"/>
      <c r="I7" s="29"/>
      <c r="J7" s="29"/>
      <c r="K7" s="29"/>
      <c r="L7" s="29"/>
      <c r="M7" s="4"/>
      <c r="N7" s="305"/>
      <c r="O7" s="129" t="s">
        <v>288</v>
      </c>
      <c r="P7" s="177">
        <f>P6</f>
        <v>2218.8485000000001</v>
      </c>
      <c r="Q7" s="177">
        <f>Q6</f>
        <v>391.56150000000002</v>
      </c>
      <c r="R7" s="178">
        <f>R6</f>
        <v>2610.41</v>
      </c>
    </row>
    <row r="8" spans="1:18" ht="15.75" thickBot="1" x14ac:dyDescent="0.3">
      <c r="A8" s="3"/>
      <c r="B8" s="4"/>
      <c r="C8" s="4"/>
      <c r="D8" s="29"/>
      <c r="E8" s="29"/>
      <c r="F8" s="29"/>
      <c r="G8" s="29"/>
      <c r="H8" s="29"/>
      <c r="I8" s="29"/>
      <c r="J8" s="29"/>
      <c r="K8" s="29"/>
      <c r="L8" s="29"/>
      <c r="M8" s="4"/>
      <c r="N8" s="306" t="s">
        <v>26</v>
      </c>
      <c r="O8" s="13" t="s">
        <v>27</v>
      </c>
      <c r="P8" s="33">
        <f>I21+I22+I23+I24+I25</f>
        <v>2583</v>
      </c>
      <c r="Q8" s="33">
        <f>J21+J22+J23+J24+J25</f>
        <v>861</v>
      </c>
      <c r="R8" s="34">
        <f>P8+Q8</f>
        <v>3444</v>
      </c>
    </row>
    <row r="9" spans="1:18" ht="15.75" thickBot="1" x14ac:dyDescent="0.3">
      <c r="A9" s="3"/>
      <c r="B9" s="4"/>
      <c r="C9" s="4"/>
      <c r="D9" s="29"/>
      <c r="E9" s="29"/>
      <c r="F9" s="29"/>
      <c r="G9" s="29"/>
      <c r="H9" s="29"/>
      <c r="I9" s="29"/>
      <c r="J9" s="29"/>
      <c r="K9" s="29"/>
      <c r="L9" s="29"/>
      <c r="M9" s="4"/>
      <c r="N9" s="307"/>
      <c r="O9" s="12" t="s">
        <v>28</v>
      </c>
      <c r="P9" s="177">
        <f>P8</f>
        <v>2583</v>
      </c>
      <c r="Q9" s="177">
        <f>Q8</f>
        <v>861</v>
      </c>
      <c r="R9" s="177">
        <f>R8</f>
        <v>3444</v>
      </c>
    </row>
    <row r="10" spans="1:18" ht="16.5" thickTop="1" thickBot="1" x14ac:dyDescent="0.3">
      <c r="A10" s="330" t="s">
        <v>177</v>
      </c>
      <c r="B10" s="329"/>
      <c r="C10" s="329"/>
      <c r="D10" s="329"/>
      <c r="E10" s="329"/>
      <c r="F10" s="329"/>
      <c r="G10" s="329"/>
      <c r="H10" s="329"/>
      <c r="I10" s="329"/>
      <c r="J10" s="329"/>
      <c r="K10" s="329"/>
      <c r="L10" s="329"/>
      <c r="M10" s="329"/>
      <c r="N10" s="14" t="s">
        <v>29</v>
      </c>
      <c r="O10" s="15" t="s">
        <v>0</v>
      </c>
      <c r="P10" s="37">
        <f>P5+P7+P9</f>
        <v>10263.8385</v>
      </c>
      <c r="Q10" s="37">
        <f>Q5+Q7+Q9</f>
        <v>1252.5615</v>
      </c>
      <c r="R10" s="38">
        <f>R5+R7+R9</f>
        <v>11516.4</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7.25" customHeight="1" thickBot="1" x14ac:dyDescent="0.3">
      <c r="A15" s="65" t="s">
        <v>64</v>
      </c>
      <c r="B15" s="66" t="s">
        <v>63</v>
      </c>
      <c r="C15" s="66" t="s">
        <v>43</v>
      </c>
      <c r="D15" s="132"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5" customHeight="1" thickBot="1" x14ac:dyDescent="0.3">
      <c r="A16" s="18" t="s">
        <v>84</v>
      </c>
      <c r="B16" s="19" t="s">
        <v>185</v>
      </c>
      <c r="C16" s="19" t="s">
        <v>43</v>
      </c>
      <c r="D16" s="134"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9.5" customHeight="1" thickBot="1" x14ac:dyDescent="0.3">
      <c r="A17" s="18" t="s">
        <v>91</v>
      </c>
      <c r="B17" s="19" t="s">
        <v>184</v>
      </c>
      <c r="C17" s="19" t="s">
        <v>43</v>
      </c>
      <c r="D17" s="134" t="s">
        <v>21</v>
      </c>
      <c r="E17" s="107">
        <v>4</v>
      </c>
      <c r="F17" s="134" t="s">
        <v>200</v>
      </c>
      <c r="G17" s="135" t="s">
        <v>201</v>
      </c>
      <c r="H17" s="110">
        <f t="shared" ref="H17:H25" si="0">I17+J17+K17+L17</f>
        <v>1012.62</v>
      </c>
      <c r="I17" s="110">
        <f>817.69+144.3</f>
        <v>961.99</v>
      </c>
      <c r="J17" s="110">
        <v>0</v>
      </c>
      <c r="K17" s="110">
        <v>50.63</v>
      </c>
      <c r="L17" s="110">
        <v>0</v>
      </c>
      <c r="M17" s="111">
        <v>0</v>
      </c>
      <c r="N17" s="44"/>
      <c r="O17" s="54">
        <v>961.99</v>
      </c>
      <c r="P17" s="44"/>
      <c r="Q17" s="44"/>
      <c r="R17" s="55"/>
    </row>
    <row r="18" spans="1:18" ht="51" customHeight="1" thickBot="1" x14ac:dyDescent="0.3">
      <c r="A18" s="18" t="s">
        <v>106</v>
      </c>
      <c r="B18" s="19" t="s">
        <v>186</v>
      </c>
      <c r="C18" s="19" t="s">
        <v>43</v>
      </c>
      <c r="D18" s="134"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45.75" customHeight="1" thickBot="1" x14ac:dyDescent="0.3">
      <c r="A19" s="18" t="s">
        <v>124</v>
      </c>
      <c r="B19" s="19" t="s">
        <v>187</v>
      </c>
      <c r="C19" s="19" t="s">
        <v>43</v>
      </c>
      <c r="D19" s="134"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45.75" customHeight="1" thickBot="1" x14ac:dyDescent="0.3">
      <c r="A20" s="26" t="s">
        <v>135</v>
      </c>
      <c r="B20" s="27" t="s">
        <v>188</v>
      </c>
      <c r="C20" s="27" t="s">
        <v>43</v>
      </c>
      <c r="D20" s="136"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132" t="s">
        <v>27</v>
      </c>
      <c r="E21" s="102">
        <v>6</v>
      </c>
      <c r="F21" s="132" t="s">
        <v>202</v>
      </c>
      <c r="G21" s="141" t="s">
        <v>203</v>
      </c>
      <c r="H21" s="105">
        <f t="shared" si="0"/>
        <v>688</v>
      </c>
      <c r="I21" s="105">
        <v>258</v>
      </c>
      <c r="J21" s="105">
        <v>86</v>
      </c>
      <c r="K21" s="105">
        <v>0</v>
      </c>
      <c r="L21" s="105">
        <v>344</v>
      </c>
      <c r="M21" s="106">
        <v>0</v>
      </c>
      <c r="N21" s="42"/>
      <c r="O21" s="52">
        <v>344</v>
      </c>
      <c r="P21" s="59">
        <v>50</v>
      </c>
      <c r="Q21" s="60"/>
      <c r="R21" s="53"/>
    </row>
    <row r="22" spans="1:18" ht="39" customHeight="1" thickBot="1" x14ac:dyDescent="0.3">
      <c r="A22" s="18" t="s">
        <v>143</v>
      </c>
      <c r="B22" s="19" t="s">
        <v>190</v>
      </c>
      <c r="C22" s="19" t="s">
        <v>43</v>
      </c>
      <c r="D22" s="134" t="s">
        <v>27</v>
      </c>
      <c r="E22" s="107">
        <v>6</v>
      </c>
      <c r="F22" s="134" t="s">
        <v>202</v>
      </c>
      <c r="G22" s="138" t="s">
        <v>203</v>
      </c>
      <c r="H22" s="110">
        <f t="shared" si="0"/>
        <v>1250</v>
      </c>
      <c r="I22" s="110">
        <v>750</v>
      </c>
      <c r="J22" s="110">
        <v>250</v>
      </c>
      <c r="K22" s="110">
        <v>0</v>
      </c>
      <c r="L22" s="110">
        <v>250</v>
      </c>
      <c r="M22" s="111">
        <v>0</v>
      </c>
      <c r="N22" s="44"/>
      <c r="O22" s="54">
        <v>1000</v>
      </c>
      <c r="P22" s="61">
        <v>20</v>
      </c>
      <c r="Q22" s="62"/>
      <c r="R22" s="55"/>
    </row>
    <row r="23" spans="1:18" ht="39" customHeight="1" thickBot="1" x14ac:dyDescent="0.3">
      <c r="A23" s="18" t="s">
        <v>150</v>
      </c>
      <c r="B23" s="19" t="s">
        <v>191</v>
      </c>
      <c r="C23" s="19" t="s">
        <v>43</v>
      </c>
      <c r="D23" s="134" t="s">
        <v>27</v>
      </c>
      <c r="E23" s="107">
        <v>6</v>
      </c>
      <c r="F23" s="134" t="s">
        <v>202</v>
      </c>
      <c r="G23" s="138" t="s">
        <v>203</v>
      </c>
      <c r="H23" s="110">
        <f t="shared" si="0"/>
        <v>4000</v>
      </c>
      <c r="I23" s="110">
        <v>1350</v>
      </c>
      <c r="J23" s="110">
        <v>450</v>
      </c>
      <c r="K23" s="110">
        <v>0</v>
      </c>
      <c r="L23" s="110">
        <v>2200</v>
      </c>
      <c r="M23" s="111">
        <v>0</v>
      </c>
      <c r="N23" s="44"/>
      <c r="O23" s="54">
        <v>1800</v>
      </c>
      <c r="P23" s="61">
        <v>55</v>
      </c>
      <c r="Q23" s="62"/>
      <c r="R23" s="55"/>
    </row>
    <row r="24" spans="1:18" ht="39" customHeight="1" thickBot="1" x14ac:dyDescent="0.3">
      <c r="A24" s="18" t="s">
        <v>143</v>
      </c>
      <c r="B24" s="19" t="s">
        <v>192</v>
      </c>
      <c r="C24" s="19" t="s">
        <v>43</v>
      </c>
      <c r="D24" s="134" t="s">
        <v>27</v>
      </c>
      <c r="E24" s="107">
        <v>6</v>
      </c>
      <c r="F24" s="134" t="s">
        <v>202</v>
      </c>
      <c r="G24" s="138" t="s">
        <v>203</v>
      </c>
      <c r="H24" s="110">
        <f t="shared" si="0"/>
        <v>600</v>
      </c>
      <c r="I24" s="110">
        <v>225</v>
      </c>
      <c r="J24" s="110">
        <v>75</v>
      </c>
      <c r="K24" s="110">
        <v>0</v>
      </c>
      <c r="L24" s="110">
        <v>300</v>
      </c>
      <c r="M24" s="111">
        <v>0</v>
      </c>
      <c r="N24" s="44"/>
      <c r="O24" s="54">
        <v>300</v>
      </c>
      <c r="P24" s="61">
        <v>50</v>
      </c>
      <c r="Q24" s="62"/>
      <c r="R24" s="55"/>
    </row>
    <row r="25" spans="1:18" ht="39" customHeight="1" thickBot="1" x14ac:dyDescent="0.3">
      <c r="A25" s="26" t="s">
        <v>153</v>
      </c>
      <c r="B25" s="27" t="s">
        <v>193</v>
      </c>
      <c r="C25" s="27" t="s">
        <v>43</v>
      </c>
      <c r="D25" s="136" t="s">
        <v>27</v>
      </c>
      <c r="E25" s="137">
        <v>6</v>
      </c>
      <c r="F25" s="136" t="s">
        <v>202</v>
      </c>
      <c r="G25" s="142" t="s">
        <v>204</v>
      </c>
      <c r="H25" s="139">
        <f t="shared" si="0"/>
        <v>0</v>
      </c>
      <c r="I25" s="139">
        <f>0.75*O25</f>
        <v>0</v>
      </c>
      <c r="J25" s="139">
        <f>0.25*O25</f>
        <v>0</v>
      </c>
      <c r="K25" s="139">
        <v>0</v>
      </c>
      <c r="L25" s="139">
        <f>((I25+J25)/(100-P25))*P25</f>
        <v>0</v>
      </c>
      <c r="M25" s="140">
        <v>0</v>
      </c>
      <c r="N25" s="46"/>
      <c r="O25" s="56">
        <v>0</v>
      </c>
      <c r="P25" s="63">
        <v>20</v>
      </c>
      <c r="Q25" s="64"/>
      <c r="R25" s="58"/>
    </row>
    <row r="26" spans="1:18" ht="51" customHeight="1" thickBot="1" x14ac:dyDescent="0.3">
      <c r="A26" s="65" t="s">
        <v>154</v>
      </c>
      <c r="B26" s="66" t="s">
        <v>194</v>
      </c>
      <c r="C26" s="66" t="s">
        <v>43</v>
      </c>
      <c r="D26" s="132" t="s">
        <v>44</v>
      </c>
      <c r="E26" s="117" t="s">
        <v>47</v>
      </c>
      <c r="F26" s="102">
        <v>3</v>
      </c>
      <c r="G26" s="141" t="s">
        <v>205</v>
      </c>
      <c r="H26" s="105">
        <v>1044.1600000000001</v>
      </c>
      <c r="I26" s="105">
        <v>887.53599999999994</v>
      </c>
      <c r="J26" s="105">
        <v>156.624</v>
      </c>
      <c r="K26" s="105">
        <v>0</v>
      </c>
      <c r="L26" s="105">
        <v>0</v>
      </c>
      <c r="M26" s="106">
        <v>0</v>
      </c>
      <c r="N26" s="147"/>
      <c r="O26" s="148">
        <v>1044.1600000000001</v>
      </c>
      <c r="P26" s="151">
        <v>0</v>
      </c>
      <c r="Q26" s="179" t="s">
        <v>45</v>
      </c>
      <c r="R26" s="180"/>
    </row>
    <row r="27" spans="1:18" ht="84" customHeight="1" thickBot="1" x14ac:dyDescent="0.3">
      <c r="A27" s="18" t="s">
        <v>91</v>
      </c>
      <c r="B27" s="19" t="s">
        <v>195</v>
      </c>
      <c r="C27" s="19" t="s">
        <v>43</v>
      </c>
      <c r="D27" s="134" t="s">
        <v>44</v>
      </c>
      <c r="E27" s="119">
        <v>2</v>
      </c>
      <c r="F27" s="107">
        <v>3</v>
      </c>
      <c r="G27" s="138" t="s">
        <v>48</v>
      </c>
      <c r="H27" s="110">
        <v>261.04000000000002</v>
      </c>
      <c r="I27" s="110">
        <v>221.88399999999999</v>
      </c>
      <c r="J27" s="110">
        <v>39.155999999999999</v>
      </c>
      <c r="K27" s="110">
        <v>0</v>
      </c>
      <c r="L27" s="110">
        <v>0</v>
      </c>
      <c r="M27" s="111">
        <v>0</v>
      </c>
      <c r="N27" s="149"/>
      <c r="O27" s="150">
        <v>261.04000000000002</v>
      </c>
      <c r="P27" s="152">
        <v>0</v>
      </c>
      <c r="Q27" s="181" t="s">
        <v>46</v>
      </c>
      <c r="R27" s="182"/>
    </row>
    <row r="28" spans="1:18" ht="54" customHeight="1" thickBot="1" x14ac:dyDescent="0.3">
      <c r="A28" s="18" t="s">
        <v>154</v>
      </c>
      <c r="B28" s="19" t="s">
        <v>196</v>
      </c>
      <c r="C28" s="19" t="s">
        <v>43</v>
      </c>
      <c r="D28" s="134" t="s">
        <v>44</v>
      </c>
      <c r="E28" s="119" t="s">
        <v>47</v>
      </c>
      <c r="F28" s="107">
        <v>3</v>
      </c>
      <c r="G28" s="138" t="s">
        <v>48</v>
      </c>
      <c r="H28" s="110">
        <v>391.57</v>
      </c>
      <c r="I28" s="110">
        <v>332.83449999999999</v>
      </c>
      <c r="J28" s="110">
        <v>58.735500000000002</v>
      </c>
      <c r="K28" s="110">
        <v>0</v>
      </c>
      <c r="L28" s="110">
        <v>0</v>
      </c>
      <c r="M28" s="111">
        <v>0</v>
      </c>
      <c r="N28" s="149"/>
      <c r="O28" s="150">
        <v>391.57</v>
      </c>
      <c r="P28" s="152">
        <v>0</v>
      </c>
      <c r="Q28" s="181" t="s">
        <v>49</v>
      </c>
      <c r="R28" s="182"/>
    </row>
    <row r="29" spans="1:18" ht="47.25" customHeight="1" thickBot="1" x14ac:dyDescent="0.3">
      <c r="A29" s="26" t="s">
        <v>172</v>
      </c>
      <c r="B29" s="27" t="s">
        <v>197</v>
      </c>
      <c r="C29" s="27" t="s">
        <v>43</v>
      </c>
      <c r="D29" s="143" t="s">
        <v>44</v>
      </c>
      <c r="E29" s="121" t="s">
        <v>47</v>
      </c>
      <c r="F29" s="112">
        <v>3</v>
      </c>
      <c r="G29" s="144" t="s">
        <v>48</v>
      </c>
      <c r="H29" s="115">
        <v>913.64</v>
      </c>
      <c r="I29" s="115">
        <v>776.59400000000005</v>
      </c>
      <c r="J29" s="115">
        <v>137.04599999999999</v>
      </c>
      <c r="K29" s="115">
        <v>0</v>
      </c>
      <c r="L29" s="115">
        <v>0</v>
      </c>
      <c r="M29" s="116">
        <v>0</v>
      </c>
      <c r="N29" s="154"/>
      <c r="O29" s="146">
        <v>913.64</v>
      </c>
      <c r="P29" s="153">
        <v>15</v>
      </c>
      <c r="Q29" s="204" t="s">
        <v>50</v>
      </c>
      <c r="R29" s="205"/>
    </row>
    <row r="30" spans="1:18" ht="15.75" thickBot="1" x14ac:dyDescent="0.3">
      <c r="A30" s="309" t="s">
        <v>0</v>
      </c>
      <c r="B30" s="310"/>
      <c r="C30" s="310"/>
      <c r="D30" s="310"/>
      <c r="E30" s="310"/>
      <c r="F30" s="311"/>
      <c r="G30" s="22"/>
      <c r="H30" s="23">
        <f t="shared" ref="H30:M30" si="1">SUM(H15:H29)</f>
        <v>14897.87</v>
      </c>
      <c r="I30" s="23">
        <f t="shared" si="1"/>
        <v>10263.838500000002</v>
      </c>
      <c r="J30" s="23">
        <f t="shared" si="1"/>
        <v>1252.5615</v>
      </c>
      <c r="K30" s="23">
        <f t="shared" si="1"/>
        <v>251.68</v>
      </c>
      <c r="L30" s="23">
        <f t="shared" si="1"/>
        <v>3129.79</v>
      </c>
      <c r="M30" s="23">
        <f t="shared" si="1"/>
        <v>0</v>
      </c>
      <c r="O30" s="21">
        <f>I30+J30</f>
        <v>11516.400000000001</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1" zoomScale="110" zoomScaleNormal="110" zoomScaleSheetLayoutView="100" workbookViewId="0">
      <selection activeCell="O29" sqref="O29"/>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7109375" customWidth="1"/>
    <col min="17" max="17" width="15.28515625" customWidth="1"/>
    <col min="18" max="18" width="14.42578125" customWidth="1"/>
  </cols>
  <sheetData>
    <row r="1" spans="1:18" ht="33" customHeight="1" thickBot="1" x14ac:dyDescent="0.3">
      <c r="A1" s="327" t="s">
        <v>292</v>
      </c>
      <c r="B1" s="328"/>
      <c r="C1" s="328"/>
      <c r="D1" s="328"/>
      <c r="E1" s="328"/>
      <c r="F1" s="328"/>
      <c r="G1" s="328"/>
      <c r="H1" s="328"/>
      <c r="I1" s="328"/>
      <c r="J1" s="328"/>
      <c r="K1" s="328"/>
      <c r="L1" s="328"/>
      <c r="M1" s="328"/>
      <c r="N1" s="352" t="s">
        <v>301</v>
      </c>
      <c r="O1" s="352"/>
      <c r="P1" s="352"/>
      <c r="Q1" s="352"/>
      <c r="R1" s="352"/>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1886.0139999999999</v>
      </c>
      <c r="Q6" s="30">
        <f>J26+J27+J28+J29</f>
        <v>391.56150000000002</v>
      </c>
      <c r="R6" s="32">
        <f>P6+Q6</f>
        <v>2277.5754999999999</v>
      </c>
    </row>
    <row r="7" spans="1:18" ht="15.75" thickBot="1" x14ac:dyDescent="0.3">
      <c r="A7" s="3"/>
      <c r="B7" s="4"/>
      <c r="C7" s="4"/>
      <c r="D7" s="29"/>
      <c r="E7" s="29"/>
      <c r="F7" s="29"/>
      <c r="G7" s="29"/>
      <c r="H7" s="29"/>
      <c r="I7" s="29"/>
      <c r="J7" s="29"/>
      <c r="K7" s="29"/>
      <c r="L7" s="29"/>
      <c r="M7" s="4"/>
      <c r="N7" s="305"/>
      <c r="O7" s="129" t="s">
        <v>288</v>
      </c>
      <c r="P7" s="177">
        <f>P6</f>
        <v>1886.0139999999999</v>
      </c>
      <c r="Q7" s="177">
        <f>Q6</f>
        <v>391.56150000000002</v>
      </c>
      <c r="R7" s="178">
        <f>R6</f>
        <v>2277.5754999999999</v>
      </c>
    </row>
    <row r="8" spans="1:18" ht="15.75" thickBot="1" x14ac:dyDescent="0.3">
      <c r="A8" s="3"/>
      <c r="B8" s="4"/>
      <c r="C8" s="4"/>
      <c r="D8" s="29"/>
      <c r="E8" s="29"/>
      <c r="F8" s="29"/>
      <c r="G8" s="29"/>
      <c r="H8" s="29"/>
      <c r="I8" s="29"/>
      <c r="J8" s="29"/>
      <c r="K8" s="29"/>
      <c r="L8" s="29"/>
      <c r="M8" s="4"/>
      <c r="N8" s="306" t="s">
        <v>26</v>
      </c>
      <c r="O8" s="13" t="s">
        <v>27</v>
      </c>
      <c r="P8" s="33">
        <f>I21+I22+I23+I24+I25</f>
        <v>2220.2550000000001</v>
      </c>
      <c r="Q8" s="33">
        <f>J21+J22+J23+J24+J25</f>
        <v>740.08500000000004</v>
      </c>
      <c r="R8" s="34">
        <f>P8+Q8+0.01</f>
        <v>2960.3500000000004</v>
      </c>
    </row>
    <row r="9" spans="1:18" ht="15.75" thickBot="1" x14ac:dyDescent="0.3">
      <c r="A9" s="3"/>
      <c r="B9" s="4"/>
      <c r="C9" s="4"/>
      <c r="D9" s="29"/>
      <c r="E9" s="29"/>
      <c r="F9" s="29"/>
      <c r="G9" s="29"/>
      <c r="H9" s="29"/>
      <c r="I9" s="29"/>
      <c r="J9" s="29"/>
      <c r="K9" s="29"/>
      <c r="L9" s="29"/>
      <c r="M9" s="4"/>
      <c r="N9" s="307"/>
      <c r="O9" s="12" t="s">
        <v>28</v>
      </c>
      <c r="P9" s="177">
        <f>P8</f>
        <v>2220.2550000000001</v>
      </c>
      <c r="Q9" s="177">
        <f>Q8</f>
        <v>740.08500000000004</v>
      </c>
      <c r="R9" s="177">
        <f>R8</f>
        <v>2960.3500000000004</v>
      </c>
    </row>
    <row r="10" spans="1:18" ht="16.5" thickTop="1" thickBot="1" x14ac:dyDescent="0.3">
      <c r="A10" s="330" t="s">
        <v>178</v>
      </c>
      <c r="B10" s="329"/>
      <c r="C10" s="329"/>
      <c r="D10" s="329"/>
      <c r="E10" s="329"/>
      <c r="F10" s="329"/>
      <c r="G10" s="329"/>
      <c r="H10" s="329"/>
      <c r="I10" s="329"/>
      <c r="J10" s="329"/>
      <c r="K10" s="329"/>
      <c r="L10" s="329"/>
      <c r="M10" s="329"/>
      <c r="N10" s="14" t="s">
        <v>29</v>
      </c>
      <c r="O10" s="15" t="s">
        <v>0</v>
      </c>
      <c r="P10" s="37">
        <f>P5+P7+P9</f>
        <v>9568.259</v>
      </c>
      <c r="Q10" s="37">
        <f>Q5+Q7+Q9</f>
        <v>1131.6465000000001</v>
      </c>
      <c r="R10" s="38">
        <f>R5+R7+R9</f>
        <v>10699.915499999999</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6.5" customHeight="1" thickBot="1" x14ac:dyDescent="0.3">
      <c r="A15" s="65" t="s">
        <v>64</v>
      </c>
      <c r="B15" s="66" t="s">
        <v>63</v>
      </c>
      <c r="C15" s="66" t="s">
        <v>43</v>
      </c>
      <c r="D15" s="132"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6.5" customHeight="1" thickBot="1" x14ac:dyDescent="0.3">
      <c r="A16" s="18" t="s">
        <v>84</v>
      </c>
      <c r="B16" s="19" t="s">
        <v>185</v>
      </c>
      <c r="C16" s="19" t="s">
        <v>43</v>
      </c>
      <c r="D16" s="134"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5.75" customHeight="1" thickBot="1" x14ac:dyDescent="0.3">
      <c r="A17" s="18" t="s">
        <v>91</v>
      </c>
      <c r="B17" s="19" t="s">
        <v>184</v>
      </c>
      <c r="C17" s="19" t="s">
        <v>43</v>
      </c>
      <c r="D17" s="134" t="s">
        <v>21</v>
      </c>
      <c r="E17" s="107">
        <v>4</v>
      </c>
      <c r="F17" s="134" t="s">
        <v>200</v>
      </c>
      <c r="G17" s="135" t="s">
        <v>201</v>
      </c>
      <c r="H17" s="110">
        <f t="shared" ref="H17:H26" si="0">I17+J17+K17+L17</f>
        <v>1012.62</v>
      </c>
      <c r="I17" s="110">
        <f>817.69+144.3</f>
        <v>961.99</v>
      </c>
      <c r="J17" s="110">
        <v>0</v>
      </c>
      <c r="K17" s="110">
        <v>50.63</v>
      </c>
      <c r="L17" s="110">
        <v>0</v>
      </c>
      <c r="M17" s="111">
        <v>0</v>
      </c>
      <c r="N17" s="44"/>
      <c r="O17" s="54">
        <v>961.99</v>
      </c>
      <c r="P17" s="44"/>
      <c r="Q17" s="44"/>
      <c r="R17" s="55"/>
    </row>
    <row r="18" spans="1:18" ht="51" customHeight="1" thickBot="1" x14ac:dyDescent="0.3">
      <c r="A18" s="18" t="s">
        <v>106</v>
      </c>
      <c r="B18" s="19" t="s">
        <v>186</v>
      </c>
      <c r="C18" s="19" t="s">
        <v>43</v>
      </c>
      <c r="D18" s="134"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54" customHeight="1" thickBot="1" x14ac:dyDescent="0.3">
      <c r="A19" s="18" t="s">
        <v>124</v>
      </c>
      <c r="B19" s="19" t="s">
        <v>187</v>
      </c>
      <c r="C19" s="19" t="s">
        <v>43</v>
      </c>
      <c r="D19" s="134"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54" customHeight="1" thickBot="1" x14ac:dyDescent="0.3">
      <c r="A20" s="26" t="s">
        <v>135</v>
      </c>
      <c r="B20" s="27" t="s">
        <v>188</v>
      </c>
      <c r="C20" s="27" t="s">
        <v>43</v>
      </c>
      <c r="D20" s="136"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132" t="s">
        <v>27</v>
      </c>
      <c r="E21" s="102">
        <v>6</v>
      </c>
      <c r="F21" s="132" t="s">
        <v>202</v>
      </c>
      <c r="G21" s="141" t="s">
        <v>203</v>
      </c>
      <c r="H21" s="105">
        <f t="shared" si="0"/>
        <v>688</v>
      </c>
      <c r="I21" s="105">
        <v>258</v>
      </c>
      <c r="J21" s="105">
        <v>86</v>
      </c>
      <c r="K21" s="105">
        <v>0</v>
      </c>
      <c r="L21" s="105">
        <v>344</v>
      </c>
      <c r="M21" s="106">
        <v>0</v>
      </c>
      <c r="N21" s="42"/>
      <c r="O21" s="52">
        <v>344</v>
      </c>
      <c r="P21" s="59">
        <v>50</v>
      </c>
      <c r="Q21" s="60"/>
      <c r="R21" s="53"/>
    </row>
    <row r="22" spans="1:18" ht="39" customHeight="1" thickBot="1" x14ac:dyDescent="0.3">
      <c r="A22" s="18" t="s">
        <v>143</v>
      </c>
      <c r="B22" s="19" t="s">
        <v>190</v>
      </c>
      <c r="C22" s="19" t="s">
        <v>43</v>
      </c>
      <c r="D22" s="134" t="s">
        <v>27</v>
      </c>
      <c r="E22" s="107">
        <v>6</v>
      </c>
      <c r="F22" s="134" t="s">
        <v>202</v>
      </c>
      <c r="G22" s="138" t="s">
        <v>203</v>
      </c>
      <c r="H22" s="110">
        <f t="shared" si="0"/>
        <v>625</v>
      </c>
      <c r="I22" s="110">
        <v>375</v>
      </c>
      <c r="J22" s="110">
        <v>125</v>
      </c>
      <c r="K22" s="110">
        <v>0</v>
      </c>
      <c r="L22" s="110">
        <v>125</v>
      </c>
      <c r="M22" s="111">
        <v>0</v>
      </c>
      <c r="N22" s="44"/>
      <c r="O22" s="54">
        <v>500</v>
      </c>
      <c r="P22" s="61">
        <v>20</v>
      </c>
      <c r="Q22" s="62"/>
      <c r="R22" s="55"/>
    </row>
    <row r="23" spans="1:18" ht="39" customHeight="1" thickBot="1" x14ac:dyDescent="0.3">
      <c r="A23" s="18" t="s">
        <v>150</v>
      </c>
      <c r="B23" s="19" t="s">
        <v>191</v>
      </c>
      <c r="C23" s="19" t="s">
        <v>43</v>
      </c>
      <c r="D23" s="134" t="s">
        <v>27</v>
      </c>
      <c r="E23" s="107">
        <v>6</v>
      </c>
      <c r="F23" s="134" t="s">
        <v>202</v>
      </c>
      <c r="G23" s="138" t="s">
        <v>203</v>
      </c>
      <c r="H23" s="110">
        <f t="shared" si="0"/>
        <v>4000</v>
      </c>
      <c r="I23" s="110">
        <v>1350</v>
      </c>
      <c r="J23" s="110">
        <v>450</v>
      </c>
      <c r="K23" s="110">
        <v>0</v>
      </c>
      <c r="L23" s="110">
        <v>2200</v>
      </c>
      <c r="M23" s="111">
        <v>0</v>
      </c>
      <c r="N23" s="44"/>
      <c r="O23" s="54">
        <v>1800</v>
      </c>
      <c r="P23" s="61">
        <v>55</v>
      </c>
      <c r="Q23" s="62"/>
      <c r="R23" s="55"/>
    </row>
    <row r="24" spans="1:18" ht="39" customHeight="1" thickBot="1" x14ac:dyDescent="0.3">
      <c r="A24" s="18" t="s">
        <v>143</v>
      </c>
      <c r="B24" s="19" t="s">
        <v>192</v>
      </c>
      <c r="C24" s="19" t="s">
        <v>43</v>
      </c>
      <c r="D24" s="134" t="s">
        <v>27</v>
      </c>
      <c r="E24" s="107">
        <v>6</v>
      </c>
      <c r="F24" s="134" t="s">
        <v>202</v>
      </c>
      <c r="G24" s="138" t="s">
        <v>203</v>
      </c>
      <c r="H24" s="110">
        <f t="shared" si="0"/>
        <v>0</v>
      </c>
      <c r="I24" s="110">
        <f>0.75*O24</f>
        <v>0</v>
      </c>
      <c r="J24" s="110">
        <f>0.25*O24</f>
        <v>0</v>
      </c>
      <c r="K24" s="110">
        <v>0</v>
      </c>
      <c r="L24" s="110">
        <f>((I24+J24)/(100-P24))*P24</f>
        <v>0</v>
      </c>
      <c r="M24" s="111">
        <v>0</v>
      </c>
      <c r="N24" s="44"/>
      <c r="O24" s="54">
        <v>0</v>
      </c>
      <c r="P24" s="61">
        <v>50</v>
      </c>
      <c r="Q24" s="62"/>
      <c r="R24" s="55"/>
    </row>
    <row r="25" spans="1:18" ht="39" customHeight="1" thickBot="1" x14ac:dyDescent="0.3">
      <c r="A25" s="26" t="s">
        <v>153</v>
      </c>
      <c r="B25" s="27" t="s">
        <v>193</v>
      </c>
      <c r="C25" s="27" t="s">
        <v>43</v>
      </c>
      <c r="D25" s="136" t="s">
        <v>27</v>
      </c>
      <c r="E25" s="137">
        <v>6</v>
      </c>
      <c r="F25" s="136" t="s">
        <v>202</v>
      </c>
      <c r="G25" s="142" t="s">
        <v>204</v>
      </c>
      <c r="H25" s="139">
        <f t="shared" si="0"/>
        <v>395.42999999999995</v>
      </c>
      <c r="I25" s="139">
        <f>0.75*O25</f>
        <v>237.255</v>
      </c>
      <c r="J25" s="139">
        <f>0.25*O25</f>
        <v>79.084999999999994</v>
      </c>
      <c r="K25" s="139">
        <v>0</v>
      </c>
      <c r="L25" s="139">
        <v>79.09</v>
      </c>
      <c r="M25" s="140">
        <v>0</v>
      </c>
      <c r="N25" s="125"/>
      <c r="O25" s="146">
        <v>316.33999999999997</v>
      </c>
      <c r="P25" s="63">
        <v>20</v>
      </c>
      <c r="Q25" s="64"/>
      <c r="R25" s="58"/>
    </row>
    <row r="26" spans="1:18" ht="51.75" customHeight="1" thickBot="1" x14ac:dyDescent="0.3">
      <c r="A26" s="65" t="s">
        <v>154</v>
      </c>
      <c r="B26" s="66" t="s">
        <v>194</v>
      </c>
      <c r="C26" s="66" t="s">
        <v>43</v>
      </c>
      <c r="D26" s="132" t="s">
        <v>44</v>
      </c>
      <c r="E26" s="117" t="s">
        <v>47</v>
      </c>
      <c r="F26" s="102">
        <v>3</v>
      </c>
      <c r="G26" s="141" t="s">
        <v>205</v>
      </c>
      <c r="H26" s="105">
        <f t="shared" si="0"/>
        <v>1044.1599999999999</v>
      </c>
      <c r="I26" s="105">
        <v>887.53599999999994</v>
      </c>
      <c r="J26" s="105">
        <v>156.624</v>
      </c>
      <c r="K26" s="105">
        <v>0</v>
      </c>
      <c r="L26" s="105">
        <v>0</v>
      </c>
      <c r="M26" s="106">
        <v>0</v>
      </c>
      <c r="N26" s="147"/>
      <c r="O26" s="148">
        <v>1044.1600000000001</v>
      </c>
      <c r="P26" s="59">
        <v>0</v>
      </c>
      <c r="Q26" s="73" t="s">
        <v>45</v>
      </c>
      <c r="R26" s="53"/>
    </row>
    <row r="27" spans="1:18" ht="84" customHeight="1" thickBot="1" x14ac:dyDescent="0.3">
      <c r="A27" s="18" t="s">
        <v>91</v>
      </c>
      <c r="B27" s="19" t="s">
        <v>195</v>
      </c>
      <c r="C27" s="19" t="s">
        <v>43</v>
      </c>
      <c r="D27" s="134" t="s">
        <v>44</v>
      </c>
      <c r="E27" s="119">
        <v>2</v>
      </c>
      <c r="F27" s="107">
        <v>3</v>
      </c>
      <c r="G27" s="138" t="s">
        <v>48</v>
      </c>
      <c r="H27" s="110">
        <v>261.04000000000002</v>
      </c>
      <c r="I27" s="110">
        <v>221.88399999999999</v>
      </c>
      <c r="J27" s="110">
        <v>39.155999999999999</v>
      </c>
      <c r="K27" s="110">
        <v>0</v>
      </c>
      <c r="L27" s="110">
        <v>0</v>
      </c>
      <c r="M27" s="111">
        <v>0</v>
      </c>
      <c r="N27" s="149"/>
      <c r="O27" s="150">
        <v>261.04000000000002</v>
      </c>
      <c r="P27" s="61">
        <v>0</v>
      </c>
      <c r="Q27" s="74" t="s">
        <v>199</v>
      </c>
      <c r="R27" s="55"/>
    </row>
    <row r="28" spans="1:18" ht="54" customHeight="1" thickBot="1" x14ac:dyDescent="0.3">
      <c r="A28" s="18" t="s">
        <v>154</v>
      </c>
      <c r="B28" s="19" t="s">
        <v>196</v>
      </c>
      <c r="C28" s="19" t="s">
        <v>43</v>
      </c>
      <c r="D28" s="134" t="s">
        <v>44</v>
      </c>
      <c r="E28" s="119" t="s">
        <v>47</v>
      </c>
      <c r="F28" s="107">
        <v>3</v>
      </c>
      <c r="G28" s="138" t="s">
        <v>48</v>
      </c>
      <c r="H28" s="110">
        <v>391.57</v>
      </c>
      <c r="I28" s="110">
        <f>ROUND(0.85*P28,2)</f>
        <v>0</v>
      </c>
      <c r="J28" s="110">
        <v>58.735500000000002</v>
      </c>
      <c r="K28" s="110">
        <v>0</v>
      </c>
      <c r="L28" s="110">
        <v>0</v>
      </c>
      <c r="M28" s="111">
        <v>0</v>
      </c>
      <c r="N28" s="149"/>
      <c r="O28" s="150">
        <v>391.57</v>
      </c>
      <c r="P28" s="61">
        <v>0</v>
      </c>
      <c r="Q28" s="74" t="s">
        <v>49</v>
      </c>
      <c r="R28" s="55"/>
    </row>
    <row r="29" spans="1:18" ht="52.5" customHeight="1" thickBot="1" x14ac:dyDescent="0.3">
      <c r="A29" s="26" t="s">
        <v>172</v>
      </c>
      <c r="B29" s="27" t="s">
        <v>197</v>
      </c>
      <c r="C29" s="27" t="s">
        <v>43</v>
      </c>
      <c r="D29" s="143" t="s">
        <v>44</v>
      </c>
      <c r="E29" s="121" t="s">
        <v>47</v>
      </c>
      <c r="F29" s="112">
        <v>3</v>
      </c>
      <c r="G29" s="144" t="s">
        <v>48</v>
      </c>
      <c r="H29" s="115">
        <v>913.64</v>
      </c>
      <c r="I29" s="115">
        <v>776.59400000000005</v>
      </c>
      <c r="J29" s="115">
        <v>137.04599999999999</v>
      </c>
      <c r="K29" s="115">
        <v>0</v>
      </c>
      <c r="L29" s="115">
        <v>0</v>
      </c>
      <c r="M29" s="116">
        <v>0</v>
      </c>
      <c r="N29" s="154"/>
      <c r="O29" s="146">
        <v>913.64</v>
      </c>
      <c r="P29" s="63">
        <v>15</v>
      </c>
      <c r="Q29" s="75" t="s">
        <v>50</v>
      </c>
      <c r="R29" s="58"/>
    </row>
    <row r="30" spans="1:18" ht="15.75" thickBot="1" x14ac:dyDescent="0.3">
      <c r="A30" s="309" t="s">
        <v>0</v>
      </c>
      <c r="B30" s="310"/>
      <c r="C30" s="310"/>
      <c r="D30" s="310"/>
      <c r="E30" s="310"/>
      <c r="F30" s="311"/>
      <c r="G30" s="22"/>
      <c r="H30" s="23">
        <f t="shared" ref="H30:M30" si="1">SUM(H15:H29)</f>
        <v>14068.300000000001</v>
      </c>
      <c r="I30" s="23">
        <f t="shared" si="1"/>
        <v>9568.2589999999982</v>
      </c>
      <c r="J30" s="23">
        <f t="shared" si="1"/>
        <v>1131.6465000000001</v>
      </c>
      <c r="K30" s="23">
        <f t="shared" si="1"/>
        <v>251.68</v>
      </c>
      <c r="L30" s="23">
        <f t="shared" si="1"/>
        <v>2783.88</v>
      </c>
      <c r="M30" s="23">
        <f t="shared" si="1"/>
        <v>0</v>
      </c>
      <c r="O30" s="21">
        <f>I30+J30</f>
        <v>10699.905499999999</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2" zoomScaleNormal="100" zoomScaleSheetLayoutView="100" workbookViewId="0">
      <selection activeCell="K36" sqref="K36"/>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2" customWidth="1"/>
    <col min="17" max="17" width="16" customWidth="1"/>
    <col min="18" max="18" width="14.7109375" customWidth="1"/>
  </cols>
  <sheetData>
    <row r="1" spans="1:18" ht="47.25" customHeight="1" thickBot="1" x14ac:dyDescent="0.3">
      <c r="A1" s="327" t="s">
        <v>291</v>
      </c>
      <c r="B1" s="328"/>
      <c r="C1" s="328"/>
      <c r="D1" s="328"/>
      <c r="E1" s="328"/>
      <c r="F1" s="328"/>
      <c r="G1" s="328"/>
      <c r="H1" s="328"/>
      <c r="I1" s="328"/>
      <c r="J1" s="328"/>
      <c r="K1" s="328"/>
      <c r="L1" s="328"/>
      <c r="M1" s="328"/>
      <c r="N1" s="352" t="s">
        <v>302</v>
      </c>
      <c r="O1" s="352"/>
      <c r="P1" s="352"/>
      <c r="Q1" s="352"/>
      <c r="R1" s="352"/>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2221.8485000000001</v>
      </c>
      <c r="Q6" s="30">
        <f>J26+J27+J28+J29</f>
        <v>391.56150000000002</v>
      </c>
      <c r="R6" s="32">
        <f>P6+Q6</f>
        <v>2613.41</v>
      </c>
    </row>
    <row r="7" spans="1:18" ht="15.75" thickBot="1" x14ac:dyDescent="0.3">
      <c r="A7" s="3"/>
      <c r="B7" s="4"/>
      <c r="C7" s="4"/>
      <c r="D7" s="29"/>
      <c r="E7" s="29"/>
      <c r="F7" s="29"/>
      <c r="G7" s="29"/>
      <c r="H7" s="29"/>
      <c r="I7" s="29"/>
      <c r="J7" s="29"/>
      <c r="K7" s="29"/>
      <c r="L7" s="29"/>
      <c r="M7" s="4"/>
      <c r="N7" s="305"/>
      <c r="O7" s="129" t="s">
        <v>288</v>
      </c>
      <c r="P7" s="177">
        <f>P6</f>
        <v>2221.8485000000001</v>
      </c>
      <c r="Q7" s="177">
        <f>Q6</f>
        <v>391.56150000000002</v>
      </c>
      <c r="R7" s="178">
        <f>R6</f>
        <v>2613.41</v>
      </c>
    </row>
    <row r="8" spans="1:18" ht="15.75" thickBot="1" x14ac:dyDescent="0.3">
      <c r="A8" s="3"/>
      <c r="B8" s="4"/>
      <c r="C8" s="4"/>
      <c r="D8" s="29"/>
      <c r="E8" s="29"/>
      <c r="F8" s="29"/>
      <c r="G8" s="29"/>
      <c r="H8" s="29"/>
      <c r="I8" s="29"/>
      <c r="J8" s="29"/>
      <c r="K8" s="29"/>
      <c r="L8" s="29"/>
      <c r="M8" s="4"/>
      <c r="N8" s="306" t="s">
        <v>26</v>
      </c>
      <c r="O8" s="13" t="s">
        <v>27</v>
      </c>
      <c r="P8" s="33">
        <f>I21+I22+I23+I24+I25</f>
        <v>1608</v>
      </c>
      <c r="Q8" s="33">
        <f>J21+J22+J23+J24+J25</f>
        <v>536</v>
      </c>
      <c r="R8" s="34">
        <f>P8+Q8</f>
        <v>2144</v>
      </c>
    </row>
    <row r="9" spans="1:18" ht="15.75" thickBot="1" x14ac:dyDescent="0.3">
      <c r="A9" s="3"/>
      <c r="B9" s="4"/>
      <c r="C9" s="4"/>
      <c r="D9" s="29"/>
      <c r="E9" s="29"/>
      <c r="F9" s="29"/>
      <c r="G9" s="29"/>
      <c r="H9" s="29"/>
      <c r="I9" s="29"/>
      <c r="J9" s="29"/>
      <c r="K9" s="29"/>
      <c r="L9" s="29"/>
      <c r="M9" s="4"/>
      <c r="N9" s="307"/>
      <c r="O9" s="12" t="s">
        <v>28</v>
      </c>
      <c r="P9" s="177">
        <f>P8</f>
        <v>1608</v>
      </c>
      <c r="Q9" s="177">
        <f>Q8</f>
        <v>536</v>
      </c>
      <c r="R9" s="177">
        <f>R8</f>
        <v>2144</v>
      </c>
    </row>
    <row r="10" spans="1:18" ht="16.5" thickTop="1" thickBot="1" x14ac:dyDescent="0.3">
      <c r="A10" s="330" t="s">
        <v>179</v>
      </c>
      <c r="B10" s="329"/>
      <c r="C10" s="329"/>
      <c r="D10" s="329"/>
      <c r="E10" s="329"/>
      <c r="F10" s="329"/>
      <c r="G10" s="329"/>
      <c r="H10" s="329"/>
      <c r="I10" s="329"/>
      <c r="J10" s="329"/>
      <c r="K10" s="329"/>
      <c r="L10" s="329"/>
      <c r="M10" s="329"/>
      <c r="N10" s="14" t="s">
        <v>29</v>
      </c>
      <c r="O10" s="15" t="s">
        <v>0</v>
      </c>
      <c r="P10" s="37">
        <f>P5+P7+P9</f>
        <v>9291.8384999999998</v>
      </c>
      <c r="Q10" s="37">
        <f>Q5+Q7+Q9</f>
        <v>927.56150000000002</v>
      </c>
      <c r="R10" s="38">
        <f>R5+R7+R9</f>
        <v>10219.4</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51.75" customHeight="1" thickBot="1" x14ac:dyDescent="0.3">
      <c r="A15" s="65" t="s">
        <v>64</v>
      </c>
      <c r="B15" s="66" t="s">
        <v>63</v>
      </c>
      <c r="C15" s="66" t="s">
        <v>43</v>
      </c>
      <c r="D15" s="51"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7.25" customHeight="1" thickBot="1" x14ac:dyDescent="0.3">
      <c r="A16" s="18" t="s">
        <v>84</v>
      </c>
      <c r="B16" s="19" t="s">
        <v>185</v>
      </c>
      <c r="C16" s="19" t="s">
        <v>43</v>
      </c>
      <c r="D16" s="20"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7.25" customHeight="1" thickBot="1" x14ac:dyDescent="0.3">
      <c r="A17" s="18" t="s">
        <v>91</v>
      </c>
      <c r="B17" s="19" t="s">
        <v>184</v>
      </c>
      <c r="C17" s="19" t="s">
        <v>43</v>
      </c>
      <c r="D17" s="20" t="s">
        <v>21</v>
      </c>
      <c r="E17" s="107">
        <v>4</v>
      </c>
      <c r="F17" s="134" t="s">
        <v>200</v>
      </c>
      <c r="G17" s="135" t="s">
        <v>201</v>
      </c>
      <c r="H17" s="110">
        <f t="shared" ref="H17:H25" si="0">I17+J17+K17+L17</f>
        <v>1012.62</v>
      </c>
      <c r="I17" s="110">
        <f>817.69+144.3</f>
        <v>961.99</v>
      </c>
      <c r="J17" s="110">
        <v>0</v>
      </c>
      <c r="K17" s="110">
        <v>50.63</v>
      </c>
      <c r="L17" s="110">
        <v>0</v>
      </c>
      <c r="M17" s="111">
        <v>0</v>
      </c>
      <c r="N17" s="44"/>
      <c r="O17" s="54">
        <v>961.99</v>
      </c>
      <c r="P17" s="44"/>
      <c r="Q17" s="44"/>
      <c r="R17" s="55"/>
    </row>
    <row r="18" spans="1:18" ht="51" customHeight="1" thickBot="1" x14ac:dyDescent="0.3">
      <c r="A18" s="18" t="s">
        <v>106</v>
      </c>
      <c r="B18" s="19" t="s">
        <v>186</v>
      </c>
      <c r="C18" s="19" t="s">
        <v>43</v>
      </c>
      <c r="D18" s="20"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52.5" customHeight="1" thickBot="1" x14ac:dyDescent="0.3">
      <c r="A19" s="18" t="s">
        <v>124</v>
      </c>
      <c r="B19" s="19" t="s">
        <v>187</v>
      </c>
      <c r="C19" s="19" t="s">
        <v>43</v>
      </c>
      <c r="D19" s="20"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46.5" customHeight="1" thickBot="1" x14ac:dyDescent="0.3">
      <c r="A20" s="26" t="s">
        <v>135</v>
      </c>
      <c r="B20" s="27" t="s">
        <v>188</v>
      </c>
      <c r="C20" s="27" t="s">
        <v>43</v>
      </c>
      <c r="D20" s="28"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51" t="s">
        <v>27</v>
      </c>
      <c r="E21" s="102">
        <v>6</v>
      </c>
      <c r="F21" s="132" t="s">
        <v>202</v>
      </c>
      <c r="G21" s="141" t="s">
        <v>203</v>
      </c>
      <c r="H21" s="105">
        <f t="shared" si="0"/>
        <v>688</v>
      </c>
      <c r="I21" s="105">
        <v>258</v>
      </c>
      <c r="J21" s="105">
        <v>86</v>
      </c>
      <c r="K21" s="105">
        <v>0</v>
      </c>
      <c r="L21" s="105">
        <v>344</v>
      </c>
      <c r="M21" s="106">
        <v>0</v>
      </c>
      <c r="N21" s="42"/>
      <c r="O21" s="52">
        <v>344</v>
      </c>
      <c r="P21" s="59">
        <v>50</v>
      </c>
      <c r="Q21" s="60"/>
      <c r="R21" s="53"/>
    </row>
    <row r="22" spans="1:18" ht="39" customHeight="1" thickBot="1" x14ac:dyDescent="0.3">
      <c r="A22" s="18" t="s">
        <v>143</v>
      </c>
      <c r="B22" s="19" t="s">
        <v>190</v>
      </c>
      <c r="C22" s="19" t="s">
        <v>43</v>
      </c>
      <c r="D22" s="20" t="s">
        <v>27</v>
      </c>
      <c r="E22" s="107">
        <v>6</v>
      </c>
      <c r="F22" s="134" t="s">
        <v>202</v>
      </c>
      <c r="G22" s="138" t="s">
        <v>203</v>
      </c>
      <c r="H22" s="110">
        <f t="shared" si="0"/>
        <v>0</v>
      </c>
      <c r="I22" s="110">
        <f>0.75*O22</f>
        <v>0</v>
      </c>
      <c r="J22" s="110">
        <f>0.25*O22</f>
        <v>0</v>
      </c>
      <c r="K22" s="110">
        <v>0</v>
      </c>
      <c r="L22" s="110">
        <f t="shared" ref="L22:L25" si="1">((I22+J22)/(100-P22))*P22</f>
        <v>0</v>
      </c>
      <c r="M22" s="111">
        <v>0</v>
      </c>
      <c r="N22" s="44"/>
      <c r="O22" s="54">
        <v>0</v>
      </c>
      <c r="P22" s="61">
        <v>20</v>
      </c>
      <c r="Q22" s="62"/>
      <c r="R22" s="55"/>
    </row>
    <row r="23" spans="1:18" ht="39" customHeight="1" thickBot="1" x14ac:dyDescent="0.3">
      <c r="A23" s="18" t="s">
        <v>150</v>
      </c>
      <c r="B23" s="19" t="s">
        <v>191</v>
      </c>
      <c r="C23" s="19" t="s">
        <v>43</v>
      </c>
      <c r="D23" s="20" t="s">
        <v>27</v>
      </c>
      <c r="E23" s="107">
        <v>6</v>
      </c>
      <c r="F23" s="134" t="s">
        <v>202</v>
      </c>
      <c r="G23" s="138" t="s">
        <v>203</v>
      </c>
      <c r="H23" s="110">
        <f t="shared" si="0"/>
        <v>4000</v>
      </c>
      <c r="I23" s="110">
        <v>1350</v>
      </c>
      <c r="J23" s="110">
        <v>450</v>
      </c>
      <c r="K23" s="110">
        <v>0</v>
      </c>
      <c r="L23" s="110">
        <v>2200</v>
      </c>
      <c r="M23" s="111">
        <v>0</v>
      </c>
      <c r="N23" s="44"/>
      <c r="O23" s="54">
        <v>1800</v>
      </c>
      <c r="P23" s="61">
        <v>55</v>
      </c>
      <c r="Q23" s="62"/>
      <c r="R23" s="55"/>
    </row>
    <row r="24" spans="1:18" ht="39" customHeight="1" thickBot="1" x14ac:dyDescent="0.3">
      <c r="A24" s="18" t="s">
        <v>143</v>
      </c>
      <c r="B24" s="19" t="s">
        <v>192</v>
      </c>
      <c r="C24" s="19" t="s">
        <v>43</v>
      </c>
      <c r="D24" s="20" t="s">
        <v>27</v>
      </c>
      <c r="E24" s="107">
        <v>6</v>
      </c>
      <c r="F24" s="134" t="s">
        <v>202</v>
      </c>
      <c r="G24" s="138" t="s">
        <v>203</v>
      </c>
      <c r="H24" s="110">
        <f t="shared" si="0"/>
        <v>0</v>
      </c>
      <c r="I24" s="110">
        <f>0.75*O24</f>
        <v>0</v>
      </c>
      <c r="J24" s="110">
        <f>0.25*O24</f>
        <v>0</v>
      </c>
      <c r="K24" s="110">
        <v>0</v>
      </c>
      <c r="L24" s="110">
        <f t="shared" si="1"/>
        <v>0</v>
      </c>
      <c r="M24" s="111">
        <v>0</v>
      </c>
      <c r="N24" s="44"/>
      <c r="O24" s="54">
        <v>0</v>
      </c>
      <c r="P24" s="61">
        <v>50</v>
      </c>
      <c r="Q24" s="62"/>
      <c r="R24" s="55"/>
    </row>
    <row r="25" spans="1:18" ht="39" customHeight="1" thickBot="1" x14ac:dyDescent="0.3">
      <c r="A25" s="26" t="s">
        <v>153</v>
      </c>
      <c r="B25" s="27" t="s">
        <v>193</v>
      </c>
      <c r="C25" s="27" t="s">
        <v>43</v>
      </c>
      <c r="D25" s="28" t="s">
        <v>27</v>
      </c>
      <c r="E25" s="137">
        <v>6</v>
      </c>
      <c r="F25" s="136" t="s">
        <v>202</v>
      </c>
      <c r="G25" s="142" t="s">
        <v>204</v>
      </c>
      <c r="H25" s="139">
        <f t="shared" si="0"/>
        <v>0</v>
      </c>
      <c r="I25" s="139">
        <f>0.75*O25</f>
        <v>0</v>
      </c>
      <c r="J25" s="139">
        <f>0.25*O25</f>
        <v>0</v>
      </c>
      <c r="K25" s="139">
        <v>0</v>
      </c>
      <c r="L25" s="139">
        <f t="shared" si="1"/>
        <v>0</v>
      </c>
      <c r="M25" s="140">
        <v>0</v>
      </c>
      <c r="N25" s="46"/>
      <c r="O25" s="56">
        <v>0</v>
      </c>
      <c r="P25" s="63">
        <v>20</v>
      </c>
      <c r="Q25" s="64"/>
      <c r="R25" s="58"/>
    </row>
    <row r="26" spans="1:18" ht="59.25" customHeight="1" thickBot="1" x14ac:dyDescent="0.3">
      <c r="A26" s="65" t="s">
        <v>154</v>
      </c>
      <c r="B26" s="66" t="s">
        <v>194</v>
      </c>
      <c r="C26" s="66" t="s">
        <v>43</v>
      </c>
      <c r="D26" s="51" t="s">
        <v>44</v>
      </c>
      <c r="E26" s="117" t="s">
        <v>47</v>
      </c>
      <c r="F26" s="102">
        <v>3</v>
      </c>
      <c r="G26" s="141" t="s">
        <v>205</v>
      </c>
      <c r="H26" s="105">
        <v>1044.1600000000001</v>
      </c>
      <c r="I26" s="105">
        <v>887.53599999999994</v>
      </c>
      <c r="J26" s="105">
        <v>156.624</v>
      </c>
      <c r="K26" s="105">
        <v>0</v>
      </c>
      <c r="L26" s="105">
        <v>0</v>
      </c>
      <c r="M26" s="106">
        <v>0</v>
      </c>
      <c r="N26" s="67"/>
      <c r="O26" s="52">
        <v>1044.1600000000001</v>
      </c>
      <c r="P26" s="59">
        <v>0</v>
      </c>
      <c r="Q26" s="73" t="s">
        <v>45</v>
      </c>
      <c r="R26" s="53"/>
    </row>
    <row r="27" spans="1:18" ht="84" customHeight="1" thickBot="1" x14ac:dyDescent="0.3">
      <c r="A27" s="18" t="s">
        <v>91</v>
      </c>
      <c r="B27" s="19" t="s">
        <v>195</v>
      </c>
      <c r="C27" s="19" t="s">
        <v>43</v>
      </c>
      <c r="D27" s="20" t="s">
        <v>44</v>
      </c>
      <c r="E27" s="119">
        <v>2</v>
      </c>
      <c r="F27" s="107">
        <v>3</v>
      </c>
      <c r="G27" s="138" t="s">
        <v>48</v>
      </c>
      <c r="H27" s="110">
        <v>261.04000000000002</v>
      </c>
      <c r="I27" s="110">
        <v>224.88399999999999</v>
      </c>
      <c r="J27" s="110">
        <v>39.155999999999999</v>
      </c>
      <c r="K27" s="110">
        <v>0</v>
      </c>
      <c r="L27" s="110">
        <v>0</v>
      </c>
      <c r="M27" s="111">
        <v>0</v>
      </c>
      <c r="N27" s="50"/>
      <c r="O27" s="54">
        <v>261.04000000000002</v>
      </c>
      <c r="P27" s="61">
        <v>0</v>
      </c>
      <c r="Q27" s="74" t="s">
        <v>199</v>
      </c>
      <c r="R27" s="55"/>
    </row>
    <row r="28" spans="1:18" ht="57.75" customHeight="1" thickBot="1" x14ac:dyDescent="0.3">
      <c r="A28" s="18" t="s">
        <v>154</v>
      </c>
      <c r="B28" s="19" t="s">
        <v>196</v>
      </c>
      <c r="C28" s="19" t="s">
        <v>43</v>
      </c>
      <c r="D28" s="20" t="s">
        <v>44</v>
      </c>
      <c r="E28" s="119" t="s">
        <v>47</v>
      </c>
      <c r="F28" s="107">
        <v>3</v>
      </c>
      <c r="G28" s="138" t="s">
        <v>48</v>
      </c>
      <c r="H28" s="110">
        <v>391.57</v>
      </c>
      <c r="I28" s="110">
        <v>332.83449999999999</v>
      </c>
      <c r="J28" s="110">
        <v>58.735500000000002</v>
      </c>
      <c r="K28" s="110">
        <v>0</v>
      </c>
      <c r="L28" s="110">
        <v>0</v>
      </c>
      <c r="M28" s="111">
        <v>0</v>
      </c>
      <c r="N28" s="50"/>
      <c r="O28" s="54">
        <v>391.57</v>
      </c>
      <c r="P28" s="61">
        <v>0</v>
      </c>
      <c r="Q28" s="74" t="s">
        <v>49</v>
      </c>
      <c r="R28" s="55"/>
    </row>
    <row r="29" spans="1:18" ht="54" customHeight="1" thickBot="1" x14ac:dyDescent="0.3">
      <c r="A29" s="26" t="s">
        <v>172</v>
      </c>
      <c r="B29" s="27" t="s">
        <v>197</v>
      </c>
      <c r="C29" s="27" t="s">
        <v>43</v>
      </c>
      <c r="D29" s="143" t="s">
        <v>44</v>
      </c>
      <c r="E29" s="121" t="s">
        <v>47</v>
      </c>
      <c r="F29" s="112">
        <v>3</v>
      </c>
      <c r="G29" s="144" t="s">
        <v>48</v>
      </c>
      <c r="H29" s="115">
        <v>913.64</v>
      </c>
      <c r="I29" s="115">
        <v>776.59400000000005</v>
      </c>
      <c r="J29" s="115">
        <v>137.04599999999999</v>
      </c>
      <c r="K29" s="115">
        <v>0</v>
      </c>
      <c r="L29" s="115">
        <v>0</v>
      </c>
      <c r="M29" s="116">
        <v>0</v>
      </c>
      <c r="N29" s="154"/>
      <c r="O29" s="146">
        <v>913.64</v>
      </c>
      <c r="P29" s="153">
        <v>15</v>
      </c>
      <c r="Q29" s="204" t="s">
        <v>50</v>
      </c>
      <c r="R29" s="205"/>
    </row>
    <row r="30" spans="1:18" ht="15.75" thickBot="1" x14ac:dyDescent="0.3">
      <c r="A30" s="309" t="s">
        <v>0</v>
      </c>
      <c r="B30" s="310"/>
      <c r="C30" s="310"/>
      <c r="D30" s="310"/>
      <c r="E30" s="310"/>
      <c r="F30" s="311"/>
      <c r="G30" s="22"/>
      <c r="H30" s="23">
        <f t="shared" ref="H30:M30" si="2">SUM(H15:H29)</f>
        <v>13047.87</v>
      </c>
      <c r="I30" s="23">
        <f t="shared" si="2"/>
        <v>9291.8385000000017</v>
      </c>
      <c r="J30" s="23">
        <f t="shared" si="2"/>
        <v>927.56150000000002</v>
      </c>
      <c r="K30" s="23">
        <f t="shared" si="2"/>
        <v>251.68</v>
      </c>
      <c r="L30" s="23">
        <f t="shared" si="2"/>
        <v>2579.79</v>
      </c>
      <c r="M30" s="23">
        <f t="shared" si="2"/>
        <v>0</v>
      </c>
      <c r="O30" s="21">
        <f>I30+J30</f>
        <v>10219.400000000001</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zoomScale="110" zoomScaleNormal="110" zoomScaleSheetLayoutView="110" workbookViewId="0">
      <selection activeCell="T29" sqref="T29"/>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85546875" customWidth="1"/>
    <col min="17" max="17" width="15.85546875" customWidth="1"/>
    <col min="18" max="18" width="14.42578125" customWidth="1"/>
  </cols>
  <sheetData>
    <row r="1" spans="1:18" ht="41.25" customHeight="1" thickBot="1" x14ac:dyDescent="0.3">
      <c r="A1" s="327" t="s">
        <v>290</v>
      </c>
      <c r="B1" s="328"/>
      <c r="C1" s="328"/>
      <c r="D1" s="328"/>
      <c r="E1" s="328"/>
      <c r="F1" s="328"/>
      <c r="G1" s="328"/>
      <c r="H1" s="328"/>
      <c r="I1" s="328"/>
      <c r="J1" s="328"/>
      <c r="K1" s="328"/>
      <c r="L1" s="328"/>
      <c r="M1" s="328"/>
      <c r="N1" s="352" t="s">
        <v>303</v>
      </c>
      <c r="O1" s="352"/>
      <c r="P1" s="352"/>
      <c r="Q1" s="352"/>
      <c r="R1" s="352"/>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1109.3434999999999</v>
      </c>
      <c r="Q6" s="30">
        <f>J26+J27+J28+J29</f>
        <v>195.76650000000001</v>
      </c>
      <c r="R6" s="32">
        <f>P6+Q6</f>
        <v>1305.1099999999999</v>
      </c>
    </row>
    <row r="7" spans="1:18" ht="15.75" thickBot="1" x14ac:dyDescent="0.3">
      <c r="A7" s="3"/>
      <c r="B7" s="4"/>
      <c r="C7" s="4"/>
      <c r="D7" s="29"/>
      <c r="E7" s="29"/>
      <c r="F7" s="29"/>
      <c r="G7" s="29"/>
      <c r="H7" s="29"/>
      <c r="I7" s="29"/>
      <c r="J7" s="29"/>
      <c r="K7" s="29"/>
      <c r="L7" s="29"/>
      <c r="M7" s="4"/>
      <c r="N7" s="305"/>
      <c r="O7" s="129" t="s">
        <v>288</v>
      </c>
      <c r="P7" s="177">
        <f>P6</f>
        <v>1109.3434999999999</v>
      </c>
      <c r="Q7" s="177">
        <f>Q6</f>
        <v>195.76650000000001</v>
      </c>
      <c r="R7" s="178">
        <f>R6</f>
        <v>1305.1099999999999</v>
      </c>
    </row>
    <row r="8" spans="1:18" ht="15.75" thickBot="1" x14ac:dyDescent="0.3">
      <c r="A8" s="3"/>
      <c r="B8" s="4"/>
      <c r="C8" s="4"/>
      <c r="D8" s="29"/>
      <c r="E8" s="29"/>
      <c r="F8" s="29"/>
      <c r="G8" s="29"/>
      <c r="H8" s="29"/>
      <c r="I8" s="29"/>
      <c r="J8" s="29"/>
      <c r="K8" s="29"/>
      <c r="L8" s="29"/>
      <c r="M8" s="4"/>
      <c r="N8" s="306" t="s">
        <v>26</v>
      </c>
      <c r="O8" s="13" t="s">
        <v>27</v>
      </c>
      <c r="P8" s="33">
        <f>I21+I22+I23+I24+I25</f>
        <v>3452.9850000000001</v>
      </c>
      <c r="Q8" s="33">
        <f>J21+J22+J23+J24+J25</f>
        <v>1150.9949999999999</v>
      </c>
      <c r="R8" s="34">
        <f>P8+Q8</f>
        <v>4603.9799999999996</v>
      </c>
    </row>
    <row r="9" spans="1:18" ht="15.75" thickBot="1" x14ac:dyDescent="0.3">
      <c r="A9" s="3"/>
      <c r="B9" s="4"/>
      <c r="C9" s="4"/>
      <c r="D9" s="29"/>
      <c r="E9" s="29"/>
      <c r="F9" s="29"/>
      <c r="G9" s="29"/>
      <c r="H9" s="29"/>
      <c r="I9" s="29"/>
      <c r="J9" s="29"/>
      <c r="K9" s="29"/>
      <c r="L9" s="29"/>
      <c r="M9" s="4"/>
      <c r="N9" s="307"/>
      <c r="O9" s="12" t="s">
        <v>28</v>
      </c>
      <c r="P9" s="177">
        <f>P8</f>
        <v>3452.9850000000001</v>
      </c>
      <c r="Q9" s="177">
        <f>Q8</f>
        <v>1150.9949999999999</v>
      </c>
      <c r="R9" s="177">
        <f>R8</f>
        <v>4603.9799999999996</v>
      </c>
    </row>
    <row r="10" spans="1:18" ht="16.5" thickTop="1" thickBot="1" x14ac:dyDescent="0.3">
      <c r="A10" s="330" t="s">
        <v>180</v>
      </c>
      <c r="B10" s="329"/>
      <c r="C10" s="329"/>
      <c r="D10" s="329"/>
      <c r="E10" s="329"/>
      <c r="F10" s="329"/>
      <c r="G10" s="329"/>
      <c r="H10" s="329"/>
      <c r="I10" s="329"/>
      <c r="J10" s="329"/>
      <c r="K10" s="329"/>
      <c r="L10" s="329"/>
      <c r="M10" s="329"/>
      <c r="N10" s="14" t="s">
        <v>29</v>
      </c>
      <c r="O10" s="15" t="s">
        <v>0</v>
      </c>
      <c r="P10" s="37">
        <f>P5+P7+P9</f>
        <v>10024.318499999999</v>
      </c>
      <c r="Q10" s="37">
        <f>Q5+Q7+Q9</f>
        <v>1346.7614999999998</v>
      </c>
      <c r="R10" s="38">
        <f>R5+R7+R9</f>
        <v>11371.079999999998</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7.25" customHeight="1" thickBot="1" x14ac:dyDescent="0.3">
      <c r="A15" s="65" t="s">
        <v>64</v>
      </c>
      <c r="B15" s="66" t="s">
        <v>63</v>
      </c>
      <c r="C15" s="66" t="s">
        <v>43</v>
      </c>
      <c r="D15" s="51"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7.25" customHeight="1" thickBot="1" x14ac:dyDescent="0.3">
      <c r="A16" s="18" t="s">
        <v>84</v>
      </c>
      <c r="B16" s="19" t="s">
        <v>185</v>
      </c>
      <c r="C16" s="19" t="s">
        <v>43</v>
      </c>
      <c r="D16" s="20"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9.5" customHeight="1" thickBot="1" x14ac:dyDescent="0.3">
      <c r="A17" s="18" t="s">
        <v>91</v>
      </c>
      <c r="B17" s="19" t="s">
        <v>184</v>
      </c>
      <c r="C17" s="19" t="s">
        <v>43</v>
      </c>
      <c r="D17" s="20" t="s">
        <v>21</v>
      </c>
      <c r="E17" s="107">
        <v>4</v>
      </c>
      <c r="F17" s="134" t="s">
        <v>200</v>
      </c>
      <c r="G17" s="135" t="s">
        <v>201</v>
      </c>
      <c r="H17" s="110">
        <f t="shared" ref="H17:H25" si="0">I17+J17+K17+L17</f>
        <v>1012.62</v>
      </c>
      <c r="I17" s="110">
        <f>817.69+144.3</f>
        <v>961.99</v>
      </c>
      <c r="J17" s="110">
        <v>0</v>
      </c>
      <c r="K17" s="110">
        <v>50.63</v>
      </c>
      <c r="L17" s="110">
        <v>0</v>
      </c>
      <c r="M17" s="111">
        <v>0</v>
      </c>
      <c r="N17" s="44"/>
      <c r="O17" s="54">
        <v>961.99</v>
      </c>
      <c r="P17" s="44"/>
      <c r="Q17" s="44"/>
      <c r="R17" s="55"/>
    </row>
    <row r="18" spans="1:18" ht="51" customHeight="1" thickBot="1" x14ac:dyDescent="0.3">
      <c r="A18" s="18" t="s">
        <v>106</v>
      </c>
      <c r="B18" s="19" t="s">
        <v>186</v>
      </c>
      <c r="C18" s="19" t="s">
        <v>43</v>
      </c>
      <c r="D18" s="20"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49.5" customHeight="1" thickBot="1" x14ac:dyDescent="0.3">
      <c r="A19" s="18" t="s">
        <v>124</v>
      </c>
      <c r="B19" s="19" t="s">
        <v>187</v>
      </c>
      <c r="C19" s="19" t="s">
        <v>43</v>
      </c>
      <c r="D19" s="20"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53.25" customHeight="1" thickBot="1" x14ac:dyDescent="0.3">
      <c r="A20" s="26" t="s">
        <v>135</v>
      </c>
      <c r="B20" s="27" t="s">
        <v>188</v>
      </c>
      <c r="C20" s="27" t="s">
        <v>43</v>
      </c>
      <c r="D20" s="28"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51" t="s">
        <v>27</v>
      </c>
      <c r="E21" s="102">
        <v>6</v>
      </c>
      <c r="F21" s="132" t="s">
        <v>202</v>
      </c>
      <c r="G21" s="141" t="s">
        <v>203</v>
      </c>
      <c r="H21" s="105">
        <f t="shared" si="0"/>
        <v>1376</v>
      </c>
      <c r="I21" s="105">
        <f>258*2</f>
        <v>516</v>
      </c>
      <c r="J21" s="105">
        <f>86*2</f>
        <v>172</v>
      </c>
      <c r="K21" s="105">
        <v>0</v>
      </c>
      <c r="L21" s="105">
        <f>344*2</f>
        <v>688</v>
      </c>
      <c r="M21" s="106">
        <v>0</v>
      </c>
      <c r="N21" s="128"/>
      <c r="O21" s="148">
        <f>344*2</f>
        <v>688</v>
      </c>
      <c r="P21" s="151">
        <v>50</v>
      </c>
      <c r="Q21" s="60"/>
      <c r="R21" s="53"/>
    </row>
    <row r="22" spans="1:18" ht="39" customHeight="1" thickBot="1" x14ac:dyDescent="0.3">
      <c r="A22" s="18" t="s">
        <v>143</v>
      </c>
      <c r="B22" s="19" t="s">
        <v>190</v>
      </c>
      <c r="C22" s="19" t="s">
        <v>43</v>
      </c>
      <c r="D22" s="20" t="s">
        <v>27</v>
      </c>
      <c r="E22" s="107">
        <v>6</v>
      </c>
      <c r="F22" s="134" t="s">
        <v>202</v>
      </c>
      <c r="G22" s="138" t="s">
        <v>203</v>
      </c>
      <c r="H22" s="110">
        <f t="shared" si="0"/>
        <v>0</v>
      </c>
      <c r="I22" s="110">
        <f>0.75*O22</f>
        <v>0</v>
      </c>
      <c r="J22" s="110">
        <f>0.25*O22</f>
        <v>0</v>
      </c>
      <c r="K22" s="110">
        <v>0</v>
      </c>
      <c r="L22" s="110">
        <f t="shared" ref="L22:L24" si="1">((I22+J22)/(100-P22))*P22</f>
        <v>0</v>
      </c>
      <c r="M22" s="111">
        <v>0</v>
      </c>
      <c r="N22" s="123"/>
      <c r="O22" s="150">
        <v>0</v>
      </c>
      <c r="P22" s="152">
        <v>20</v>
      </c>
      <c r="Q22" s="62"/>
      <c r="R22" s="55"/>
    </row>
    <row r="23" spans="1:18" ht="39" customHeight="1" thickBot="1" x14ac:dyDescent="0.3">
      <c r="A23" s="18" t="s">
        <v>150</v>
      </c>
      <c r="B23" s="19" t="s">
        <v>191</v>
      </c>
      <c r="C23" s="19" t="s">
        <v>43</v>
      </c>
      <c r="D23" s="20" t="s">
        <v>27</v>
      </c>
      <c r="E23" s="107">
        <v>6</v>
      </c>
      <c r="F23" s="134" t="s">
        <v>202</v>
      </c>
      <c r="G23" s="138" t="s">
        <v>203</v>
      </c>
      <c r="H23" s="110">
        <f t="shared" si="0"/>
        <v>8000</v>
      </c>
      <c r="I23" s="110">
        <f>1350*2</f>
        <v>2700</v>
      </c>
      <c r="J23" s="110">
        <f>450*2</f>
        <v>900</v>
      </c>
      <c r="K23" s="110">
        <v>0</v>
      </c>
      <c r="L23" s="110">
        <f>2200*2</f>
        <v>4400</v>
      </c>
      <c r="M23" s="111">
        <v>0</v>
      </c>
      <c r="N23" s="123"/>
      <c r="O23" s="150">
        <f>1800*2</f>
        <v>3600</v>
      </c>
      <c r="P23" s="152">
        <v>55</v>
      </c>
      <c r="Q23" s="62"/>
      <c r="R23" s="55"/>
    </row>
    <row r="24" spans="1:18" ht="39" customHeight="1" thickBot="1" x14ac:dyDescent="0.3">
      <c r="A24" s="18" t="s">
        <v>143</v>
      </c>
      <c r="B24" s="19" t="s">
        <v>192</v>
      </c>
      <c r="C24" s="19" t="s">
        <v>43</v>
      </c>
      <c r="D24" s="20" t="s">
        <v>27</v>
      </c>
      <c r="E24" s="107">
        <v>6</v>
      </c>
      <c r="F24" s="134" t="s">
        <v>202</v>
      </c>
      <c r="G24" s="138" t="s">
        <v>203</v>
      </c>
      <c r="H24" s="110">
        <f t="shared" si="0"/>
        <v>0</v>
      </c>
      <c r="I24" s="110">
        <f>0.75*O24</f>
        <v>0</v>
      </c>
      <c r="J24" s="110">
        <f>0.25*O24</f>
        <v>0</v>
      </c>
      <c r="K24" s="110">
        <v>0</v>
      </c>
      <c r="L24" s="110">
        <f t="shared" si="1"/>
        <v>0</v>
      </c>
      <c r="M24" s="111">
        <v>0</v>
      </c>
      <c r="N24" s="123"/>
      <c r="O24" s="150">
        <v>0</v>
      </c>
      <c r="P24" s="152">
        <v>50</v>
      </c>
      <c r="Q24" s="62"/>
      <c r="R24" s="55"/>
    </row>
    <row r="25" spans="1:18" ht="39" customHeight="1" thickBot="1" x14ac:dyDescent="0.3">
      <c r="A25" s="26" t="s">
        <v>153</v>
      </c>
      <c r="B25" s="27" t="s">
        <v>193</v>
      </c>
      <c r="C25" s="27" t="s">
        <v>43</v>
      </c>
      <c r="D25" s="136" t="s">
        <v>27</v>
      </c>
      <c r="E25" s="137">
        <v>6</v>
      </c>
      <c r="F25" s="136" t="s">
        <v>202</v>
      </c>
      <c r="G25" s="142" t="s">
        <v>204</v>
      </c>
      <c r="H25" s="139">
        <f t="shared" si="0"/>
        <v>394.98</v>
      </c>
      <c r="I25" s="139">
        <f>0.75*O25</f>
        <v>236.98500000000001</v>
      </c>
      <c r="J25" s="139">
        <f>0.25*O25</f>
        <v>78.995000000000005</v>
      </c>
      <c r="K25" s="139">
        <v>0</v>
      </c>
      <c r="L25" s="139">
        <v>79</v>
      </c>
      <c r="M25" s="140">
        <v>0</v>
      </c>
      <c r="N25" s="125"/>
      <c r="O25" s="146">
        <v>315.98</v>
      </c>
      <c r="P25" s="153">
        <v>20</v>
      </c>
      <c r="Q25" s="64"/>
      <c r="R25" s="58"/>
    </row>
    <row r="26" spans="1:18" ht="50.25" customHeight="1" thickBot="1" x14ac:dyDescent="0.3">
      <c r="A26" s="65" t="s">
        <v>154</v>
      </c>
      <c r="B26" s="66" t="s">
        <v>194</v>
      </c>
      <c r="C26" s="66" t="s">
        <v>43</v>
      </c>
      <c r="D26" s="132" t="s">
        <v>44</v>
      </c>
      <c r="E26" s="117" t="s">
        <v>47</v>
      </c>
      <c r="F26" s="102">
        <v>3</v>
      </c>
      <c r="G26" s="141" t="s">
        <v>205</v>
      </c>
      <c r="H26" s="105">
        <v>522.08000000000004</v>
      </c>
      <c r="I26" s="105">
        <v>443.76799999999997</v>
      </c>
      <c r="J26" s="105">
        <v>78.311999999999998</v>
      </c>
      <c r="K26" s="105">
        <v>0</v>
      </c>
      <c r="L26" s="105">
        <v>0</v>
      </c>
      <c r="M26" s="106">
        <v>0</v>
      </c>
      <c r="N26" s="147"/>
      <c r="O26" s="148">
        <v>522.08000000000004</v>
      </c>
      <c r="P26" s="151">
        <v>0</v>
      </c>
      <c r="Q26" s="73" t="s">
        <v>45</v>
      </c>
      <c r="R26" s="53"/>
    </row>
    <row r="27" spans="1:18" ht="84" customHeight="1" thickBot="1" x14ac:dyDescent="0.3">
      <c r="A27" s="18" t="s">
        <v>91</v>
      </c>
      <c r="B27" s="19" t="s">
        <v>195</v>
      </c>
      <c r="C27" s="19" t="s">
        <v>43</v>
      </c>
      <c r="D27" s="134" t="s">
        <v>44</v>
      </c>
      <c r="E27" s="119">
        <v>2</v>
      </c>
      <c r="F27" s="107">
        <v>3</v>
      </c>
      <c r="G27" s="138" t="s">
        <v>48</v>
      </c>
      <c r="H27" s="110">
        <v>130.52000000000001</v>
      </c>
      <c r="I27" s="110">
        <v>110.94199999999999</v>
      </c>
      <c r="J27" s="110">
        <v>19.577999999999999</v>
      </c>
      <c r="K27" s="110">
        <v>0</v>
      </c>
      <c r="L27" s="110">
        <v>0</v>
      </c>
      <c r="M27" s="111">
        <v>0</v>
      </c>
      <c r="N27" s="149"/>
      <c r="O27" s="150">
        <v>130.52000000000001</v>
      </c>
      <c r="P27" s="152">
        <v>0</v>
      </c>
      <c r="Q27" s="74" t="s">
        <v>199</v>
      </c>
      <c r="R27" s="55"/>
    </row>
    <row r="28" spans="1:18" ht="57.75" customHeight="1" thickBot="1" x14ac:dyDescent="0.3">
      <c r="A28" s="18" t="s">
        <v>154</v>
      </c>
      <c r="B28" s="19" t="s">
        <v>196</v>
      </c>
      <c r="C28" s="19" t="s">
        <v>43</v>
      </c>
      <c r="D28" s="134" t="s">
        <v>44</v>
      </c>
      <c r="E28" s="119" t="s">
        <v>47</v>
      </c>
      <c r="F28" s="107">
        <v>3</v>
      </c>
      <c r="G28" s="138" t="s">
        <v>48</v>
      </c>
      <c r="H28" s="110">
        <v>195.68</v>
      </c>
      <c r="I28" s="110">
        <v>166.328</v>
      </c>
      <c r="J28" s="110">
        <v>29.352</v>
      </c>
      <c r="K28" s="110">
        <v>0</v>
      </c>
      <c r="L28" s="110">
        <v>0</v>
      </c>
      <c r="M28" s="111">
        <v>0</v>
      </c>
      <c r="N28" s="149"/>
      <c r="O28" s="150">
        <v>195.68</v>
      </c>
      <c r="P28" s="152">
        <v>0</v>
      </c>
      <c r="Q28" s="74" t="s">
        <v>49</v>
      </c>
      <c r="R28" s="55"/>
    </row>
    <row r="29" spans="1:18" ht="55.5" customHeight="1" thickBot="1" x14ac:dyDescent="0.3">
      <c r="A29" s="26" t="s">
        <v>172</v>
      </c>
      <c r="B29" s="27" t="s">
        <v>197</v>
      </c>
      <c r="C29" s="27" t="s">
        <v>43</v>
      </c>
      <c r="D29" s="143" t="s">
        <v>44</v>
      </c>
      <c r="E29" s="121" t="s">
        <v>47</v>
      </c>
      <c r="F29" s="112">
        <v>3</v>
      </c>
      <c r="G29" s="144" t="s">
        <v>48</v>
      </c>
      <c r="H29" s="115">
        <v>456.83</v>
      </c>
      <c r="I29" s="115">
        <v>388.30549999999999</v>
      </c>
      <c r="J29" s="115">
        <v>68.524500000000003</v>
      </c>
      <c r="K29" s="115">
        <v>0</v>
      </c>
      <c r="L29" s="115">
        <f>ROUND(0.15*P29,2)</f>
        <v>2.25</v>
      </c>
      <c r="M29" s="116">
        <v>0</v>
      </c>
      <c r="N29" s="154"/>
      <c r="O29" s="146">
        <v>456.83</v>
      </c>
      <c r="P29" s="63">
        <v>15</v>
      </c>
      <c r="Q29" s="75" t="s">
        <v>50</v>
      </c>
      <c r="R29" s="58"/>
    </row>
    <row r="30" spans="1:18" ht="15.75" thickBot="1" x14ac:dyDescent="0.3">
      <c r="A30" s="309" t="s">
        <v>0</v>
      </c>
      <c r="B30" s="310"/>
      <c r="C30" s="310"/>
      <c r="D30" s="310"/>
      <c r="E30" s="310"/>
      <c r="F30" s="311"/>
      <c r="G30" s="22"/>
      <c r="H30" s="23">
        <f t="shared" ref="H30:M30" si="2">SUM(H15:H29)</f>
        <v>16825.550000000003</v>
      </c>
      <c r="I30" s="23">
        <f t="shared" si="2"/>
        <v>10024.318499999999</v>
      </c>
      <c r="J30" s="23">
        <f t="shared" si="2"/>
        <v>1346.7614999999998</v>
      </c>
      <c r="K30" s="23">
        <f t="shared" si="2"/>
        <v>251.68</v>
      </c>
      <c r="L30" s="23">
        <f t="shared" si="2"/>
        <v>5205.04</v>
      </c>
      <c r="M30" s="23">
        <f t="shared" si="2"/>
        <v>0</v>
      </c>
      <c r="O30" s="21">
        <f>I30+J30</f>
        <v>11371.08</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2" zoomScale="80" zoomScaleNormal="80" zoomScaleSheetLayoutView="110" workbookViewId="0">
      <selection activeCell="E4" sqref="E3:E4"/>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7109375" customWidth="1"/>
    <col min="17" max="17" width="16.140625" customWidth="1"/>
    <col min="18" max="18" width="14.7109375" customWidth="1"/>
  </cols>
  <sheetData>
    <row r="1" spans="1:18" ht="37.5" customHeight="1" thickBot="1" x14ac:dyDescent="0.3">
      <c r="A1" s="327" t="s">
        <v>289</v>
      </c>
      <c r="B1" s="328"/>
      <c r="C1" s="328"/>
      <c r="D1" s="328"/>
      <c r="E1" s="328"/>
      <c r="F1" s="328"/>
      <c r="G1" s="328"/>
      <c r="H1" s="328"/>
      <c r="I1" s="328"/>
      <c r="J1" s="328"/>
      <c r="K1" s="328"/>
      <c r="L1" s="328"/>
      <c r="M1" s="328"/>
      <c r="N1" s="352" t="s">
        <v>304</v>
      </c>
      <c r="O1" s="352"/>
      <c r="P1" s="352"/>
      <c r="Q1" s="352"/>
      <c r="R1" s="352"/>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0</v>
      </c>
      <c r="Q6" s="30">
        <f>J26+J27+J28+J29+K26+K27+K28+K29+L26+L27+L28+L29</f>
        <v>0</v>
      </c>
      <c r="R6" s="32">
        <f>P6+Q6</f>
        <v>0</v>
      </c>
    </row>
    <row r="7" spans="1:18" ht="15.75" thickBot="1" x14ac:dyDescent="0.3">
      <c r="A7" s="3"/>
      <c r="B7" s="4"/>
      <c r="C7" s="4"/>
      <c r="D7" s="29"/>
      <c r="E7" s="29"/>
      <c r="F7" s="29"/>
      <c r="G7" s="29"/>
      <c r="H7" s="29"/>
      <c r="I7" s="29"/>
      <c r="J7" s="29"/>
      <c r="K7" s="29"/>
      <c r="L7" s="29"/>
      <c r="M7" s="4"/>
      <c r="N7" s="305"/>
      <c r="O7" s="129" t="s">
        <v>288</v>
      </c>
      <c r="P7" s="177">
        <f>P6</f>
        <v>0</v>
      </c>
      <c r="Q7" s="177">
        <f>J26+J27+J28+J29+K26+K27+K28+K29+L26+L27+L28+L29</f>
        <v>0</v>
      </c>
      <c r="R7" s="178">
        <f>R6</f>
        <v>0</v>
      </c>
    </row>
    <row r="8" spans="1:18" ht="15.75" thickBot="1" x14ac:dyDescent="0.3">
      <c r="A8" s="3"/>
      <c r="B8" s="4"/>
      <c r="C8" s="4"/>
      <c r="D8" s="29"/>
      <c r="E8" s="29"/>
      <c r="F8" s="29"/>
      <c r="G8" s="29"/>
      <c r="H8" s="29"/>
      <c r="I8" s="29"/>
      <c r="J8" s="29"/>
      <c r="K8" s="29"/>
      <c r="L8" s="29"/>
      <c r="M8" s="4"/>
      <c r="N8" s="306" t="s">
        <v>26</v>
      </c>
      <c r="O8" s="13" t="s">
        <v>27</v>
      </c>
      <c r="P8" s="33">
        <f>I21+I22+I23+I24+I25</f>
        <v>0</v>
      </c>
      <c r="Q8" s="33">
        <f>J21+J22+J23+J24+J25</f>
        <v>0</v>
      </c>
      <c r="R8" s="34">
        <f>P8+Q8</f>
        <v>0</v>
      </c>
    </row>
    <row r="9" spans="1:18" ht="15.75" thickBot="1" x14ac:dyDescent="0.3">
      <c r="A9" s="3"/>
      <c r="B9" s="4"/>
      <c r="C9" s="4"/>
      <c r="D9" s="29"/>
      <c r="E9" s="29"/>
      <c r="F9" s="29"/>
      <c r="G9" s="29"/>
      <c r="H9" s="29"/>
      <c r="I9" s="29"/>
      <c r="J9" s="29"/>
      <c r="K9" s="29"/>
      <c r="L9" s="29"/>
      <c r="M9" s="4"/>
      <c r="N9" s="307"/>
      <c r="O9" s="12" t="s">
        <v>28</v>
      </c>
      <c r="P9" s="177">
        <f>P8</f>
        <v>0</v>
      </c>
      <c r="Q9" s="177">
        <f>Q8</f>
        <v>0</v>
      </c>
      <c r="R9" s="177">
        <f>R8</f>
        <v>0</v>
      </c>
    </row>
    <row r="10" spans="1:18" ht="16.5" thickTop="1" thickBot="1" x14ac:dyDescent="0.3">
      <c r="A10" s="330" t="s">
        <v>181</v>
      </c>
      <c r="B10" s="329"/>
      <c r="C10" s="329"/>
      <c r="D10" s="329"/>
      <c r="E10" s="329"/>
      <c r="F10" s="329"/>
      <c r="G10" s="329"/>
      <c r="H10" s="329"/>
      <c r="I10" s="329"/>
      <c r="J10" s="329"/>
      <c r="K10" s="329"/>
      <c r="L10" s="329"/>
      <c r="M10" s="329"/>
      <c r="N10" s="14" t="s">
        <v>29</v>
      </c>
      <c r="O10" s="15" t="s">
        <v>0</v>
      </c>
      <c r="P10" s="37">
        <f>P5+P7+P9</f>
        <v>5461.99</v>
      </c>
      <c r="Q10" s="37">
        <f>Q5+Q7+Q9</f>
        <v>0</v>
      </c>
      <c r="R10" s="38">
        <f>R5+R7+R9</f>
        <v>5461.99</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5" customHeight="1" thickBot="1" x14ac:dyDescent="0.3">
      <c r="A15" s="65" t="s">
        <v>64</v>
      </c>
      <c r="B15" s="66" t="s">
        <v>63</v>
      </c>
      <c r="C15" s="66" t="s">
        <v>43</v>
      </c>
      <c r="D15" s="51"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6.5" customHeight="1" thickBot="1" x14ac:dyDescent="0.3">
      <c r="A16" s="18" t="s">
        <v>84</v>
      </c>
      <c r="B16" s="19" t="s">
        <v>185</v>
      </c>
      <c r="C16" s="19" t="s">
        <v>43</v>
      </c>
      <c r="D16" s="20"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6.5" customHeight="1" thickBot="1" x14ac:dyDescent="0.3">
      <c r="A17" s="18" t="s">
        <v>91</v>
      </c>
      <c r="B17" s="19" t="s">
        <v>184</v>
      </c>
      <c r="C17" s="19" t="s">
        <v>43</v>
      </c>
      <c r="D17" s="20" t="s">
        <v>21</v>
      </c>
      <c r="E17" s="107">
        <v>4</v>
      </c>
      <c r="F17" s="134" t="s">
        <v>200</v>
      </c>
      <c r="G17" s="135" t="s">
        <v>201</v>
      </c>
      <c r="H17" s="110">
        <f t="shared" ref="H17:H29" si="0">I17+J17+K17+L17</f>
        <v>1012.62</v>
      </c>
      <c r="I17" s="110">
        <f>817.69+144.3</f>
        <v>961.99</v>
      </c>
      <c r="J17" s="110">
        <v>0</v>
      </c>
      <c r="K17" s="110">
        <v>50.63</v>
      </c>
      <c r="L17" s="110">
        <v>0</v>
      </c>
      <c r="M17" s="111">
        <v>0</v>
      </c>
      <c r="N17" s="44"/>
      <c r="O17" s="54">
        <v>961.99</v>
      </c>
      <c r="P17" s="44"/>
      <c r="Q17" s="44"/>
      <c r="R17" s="55"/>
    </row>
    <row r="18" spans="1:18" ht="51.75" customHeight="1" thickBot="1" x14ac:dyDescent="0.3">
      <c r="A18" s="18" t="s">
        <v>106</v>
      </c>
      <c r="B18" s="19" t="s">
        <v>186</v>
      </c>
      <c r="C18" s="19" t="s">
        <v>43</v>
      </c>
      <c r="D18" s="20"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48.75" customHeight="1" thickBot="1" x14ac:dyDescent="0.3">
      <c r="A19" s="18" t="s">
        <v>124</v>
      </c>
      <c r="B19" s="19" t="s">
        <v>187</v>
      </c>
      <c r="C19" s="19" t="s">
        <v>43</v>
      </c>
      <c r="D19" s="20"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46.5" customHeight="1" thickBot="1" x14ac:dyDescent="0.3">
      <c r="A20" s="26" t="s">
        <v>135</v>
      </c>
      <c r="B20" s="27" t="s">
        <v>188</v>
      </c>
      <c r="C20" s="27" t="s">
        <v>43</v>
      </c>
      <c r="D20" s="28"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51" t="s">
        <v>27</v>
      </c>
      <c r="E21" s="102">
        <v>6</v>
      </c>
      <c r="F21" s="132" t="s">
        <v>202</v>
      </c>
      <c r="G21" s="141" t="s">
        <v>203</v>
      </c>
      <c r="H21" s="105">
        <v>0</v>
      </c>
      <c r="I21" s="105">
        <v>0</v>
      </c>
      <c r="J21" s="105">
        <v>0</v>
      </c>
      <c r="K21" s="105">
        <v>0</v>
      </c>
      <c r="L21" s="105">
        <v>0</v>
      </c>
      <c r="M21" s="106">
        <v>0</v>
      </c>
      <c r="N21" s="128"/>
      <c r="O21" s="148">
        <v>0</v>
      </c>
      <c r="P21" s="59">
        <v>50</v>
      </c>
      <c r="Q21" s="60"/>
      <c r="R21" s="53"/>
    </row>
    <row r="22" spans="1:18" ht="39" customHeight="1" thickBot="1" x14ac:dyDescent="0.3">
      <c r="A22" s="18" t="s">
        <v>143</v>
      </c>
      <c r="B22" s="19" t="s">
        <v>190</v>
      </c>
      <c r="C22" s="19" t="s">
        <v>43</v>
      </c>
      <c r="D22" s="20" t="s">
        <v>27</v>
      </c>
      <c r="E22" s="107">
        <v>6</v>
      </c>
      <c r="F22" s="134" t="s">
        <v>202</v>
      </c>
      <c r="G22" s="138" t="s">
        <v>203</v>
      </c>
      <c r="H22" s="110">
        <f t="shared" si="0"/>
        <v>0</v>
      </c>
      <c r="I22" s="110">
        <f t="shared" ref="I22:I29" si="1">0.75*O22</f>
        <v>0</v>
      </c>
      <c r="J22" s="110">
        <f t="shared" ref="J22:J29" si="2">0.25*O22</f>
        <v>0</v>
      </c>
      <c r="K22" s="110">
        <v>0</v>
      </c>
      <c r="L22" s="110">
        <f t="shared" ref="L22:L29" si="3">((I22+J22)/(100-P22))*P22</f>
        <v>0</v>
      </c>
      <c r="M22" s="111">
        <v>0</v>
      </c>
      <c r="N22" s="123"/>
      <c r="O22" s="150">
        <v>0</v>
      </c>
      <c r="P22" s="61">
        <v>20</v>
      </c>
      <c r="Q22" s="62"/>
      <c r="R22" s="55"/>
    </row>
    <row r="23" spans="1:18" ht="39" customHeight="1" thickBot="1" x14ac:dyDescent="0.3">
      <c r="A23" s="18" t="s">
        <v>150</v>
      </c>
      <c r="B23" s="19" t="s">
        <v>191</v>
      </c>
      <c r="C23" s="19" t="s">
        <v>43</v>
      </c>
      <c r="D23" s="20" t="s">
        <v>27</v>
      </c>
      <c r="E23" s="107">
        <v>6</v>
      </c>
      <c r="F23" s="134" t="s">
        <v>202</v>
      </c>
      <c r="G23" s="138" t="s">
        <v>203</v>
      </c>
      <c r="H23" s="110">
        <v>0</v>
      </c>
      <c r="I23" s="110">
        <v>0</v>
      </c>
      <c r="J23" s="110">
        <v>0</v>
      </c>
      <c r="K23" s="110">
        <v>0</v>
      </c>
      <c r="L23" s="110">
        <v>0</v>
      </c>
      <c r="M23" s="111">
        <v>0</v>
      </c>
      <c r="N23" s="123"/>
      <c r="O23" s="150">
        <v>0</v>
      </c>
      <c r="P23" s="61">
        <v>55</v>
      </c>
      <c r="Q23" s="62"/>
      <c r="R23" s="55"/>
    </row>
    <row r="24" spans="1:18" ht="39" customHeight="1" thickBot="1" x14ac:dyDescent="0.3">
      <c r="A24" s="18" t="s">
        <v>143</v>
      </c>
      <c r="B24" s="19" t="s">
        <v>192</v>
      </c>
      <c r="C24" s="19" t="s">
        <v>43</v>
      </c>
      <c r="D24" s="20" t="s">
        <v>27</v>
      </c>
      <c r="E24" s="107">
        <v>6</v>
      </c>
      <c r="F24" s="134" t="s">
        <v>202</v>
      </c>
      <c r="G24" s="138" t="s">
        <v>203</v>
      </c>
      <c r="H24" s="110">
        <f t="shared" si="0"/>
        <v>0</v>
      </c>
      <c r="I24" s="110">
        <f t="shared" si="1"/>
        <v>0</v>
      </c>
      <c r="J24" s="110">
        <f t="shared" si="2"/>
        <v>0</v>
      </c>
      <c r="K24" s="110">
        <v>0</v>
      </c>
      <c r="L24" s="110">
        <f t="shared" si="3"/>
        <v>0</v>
      </c>
      <c r="M24" s="111">
        <v>0</v>
      </c>
      <c r="N24" s="123"/>
      <c r="O24" s="150">
        <v>0</v>
      </c>
      <c r="P24" s="61">
        <v>50</v>
      </c>
      <c r="Q24" s="62"/>
      <c r="R24" s="55"/>
    </row>
    <row r="25" spans="1:18" ht="39" customHeight="1" thickBot="1" x14ac:dyDescent="0.3">
      <c r="A25" s="26" t="s">
        <v>153</v>
      </c>
      <c r="B25" s="27" t="s">
        <v>193</v>
      </c>
      <c r="C25" s="27" t="s">
        <v>43</v>
      </c>
      <c r="D25" s="28" t="s">
        <v>27</v>
      </c>
      <c r="E25" s="137">
        <v>6</v>
      </c>
      <c r="F25" s="136" t="s">
        <v>202</v>
      </c>
      <c r="G25" s="142" t="s">
        <v>204</v>
      </c>
      <c r="H25" s="139">
        <f t="shared" si="0"/>
        <v>0</v>
      </c>
      <c r="I25" s="139">
        <f t="shared" si="1"/>
        <v>0</v>
      </c>
      <c r="J25" s="139">
        <f t="shared" si="2"/>
        <v>0</v>
      </c>
      <c r="K25" s="139">
        <v>0</v>
      </c>
      <c r="L25" s="139">
        <f t="shared" si="3"/>
        <v>0</v>
      </c>
      <c r="M25" s="140">
        <v>0</v>
      </c>
      <c r="N25" s="125"/>
      <c r="O25" s="146">
        <v>0</v>
      </c>
      <c r="P25" s="63">
        <v>20</v>
      </c>
      <c r="Q25" s="64"/>
      <c r="R25" s="58"/>
    </row>
    <row r="26" spans="1:18" ht="52.5" customHeight="1" thickBot="1" x14ac:dyDescent="0.3">
      <c r="A26" s="65" t="s">
        <v>154</v>
      </c>
      <c r="B26" s="66" t="s">
        <v>194</v>
      </c>
      <c r="C26" s="66" t="s">
        <v>43</v>
      </c>
      <c r="D26" s="51" t="s">
        <v>44</v>
      </c>
      <c r="E26" s="117" t="s">
        <v>47</v>
      </c>
      <c r="F26" s="102">
        <v>3</v>
      </c>
      <c r="G26" s="141" t="s">
        <v>205</v>
      </c>
      <c r="H26" s="105">
        <f t="shared" si="0"/>
        <v>0</v>
      </c>
      <c r="I26" s="105">
        <f t="shared" si="1"/>
        <v>0</v>
      </c>
      <c r="J26" s="105">
        <f t="shared" si="2"/>
        <v>0</v>
      </c>
      <c r="K26" s="105">
        <v>0</v>
      </c>
      <c r="L26" s="105">
        <f t="shared" si="3"/>
        <v>0</v>
      </c>
      <c r="M26" s="106">
        <v>0</v>
      </c>
      <c r="N26" s="147"/>
      <c r="O26" s="148">
        <v>0</v>
      </c>
      <c r="P26" s="59">
        <v>0</v>
      </c>
      <c r="Q26" s="73" t="s">
        <v>45</v>
      </c>
      <c r="R26" s="53"/>
    </row>
    <row r="27" spans="1:18" ht="84" customHeight="1" thickBot="1" x14ac:dyDescent="0.3">
      <c r="A27" s="18" t="s">
        <v>91</v>
      </c>
      <c r="B27" s="19" t="s">
        <v>195</v>
      </c>
      <c r="C27" s="19" t="s">
        <v>43</v>
      </c>
      <c r="D27" s="20" t="s">
        <v>44</v>
      </c>
      <c r="E27" s="119">
        <v>2</v>
      </c>
      <c r="F27" s="107">
        <v>3</v>
      </c>
      <c r="G27" s="138" t="s">
        <v>48</v>
      </c>
      <c r="H27" s="110">
        <f t="shared" si="0"/>
        <v>0</v>
      </c>
      <c r="I27" s="110">
        <f t="shared" si="1"/>
        <v>0</v>
      </c>
      <c r="J27" s="110">
        <f t="shared" si="2"/>
        <v>0</v>
      </c>
      <c r="K27" s="110">
        <v>0</v>
      </c>
      <c r="L27" s="110">
        <f t="shared" si="3"/>
        <v>0</v>
      </c>
      <c r="M27" s="111">
        <v>0</v>
      </c>
      <c r="N27" s="149"/>
      <c r="O27" s="150">
        <v>0</v>
      </c>
      <c r="P27" s="61">
        <v>0</v>
      </c>
      <c r="Q27" s="74" t="s">
        <v>199</v>
      </c>
      <c r="R27" s="55"/>
    </row>
    <row r="28" spans="1:18" ht="52.5" customHeight="1" thickBot="1" x14ac:dyDescent="0.3">
      <c r="A28" s="18" t="s">
        <v>154</v>
      </c>
      <c r="B28" s="19" t="s">
        <v>196</v>
      </c>
      <c r="C28" s="19" t="s">
        <v>43</v>
      </c>
      <c r="D28" s="20" t="s">
        <v>44</v>
      </c>
      <c r="E28" s="119" t="s">
        <v>47</v>
      </c>
      <c r="F28" s="107">
        <v>3</v>
      </c>
      <c r="G28" s="138" t="s">
        <v>48</v>
      </c>
      <c r="H28" s="110">
        <f t="shared" si="0"/>
        <v>0</v>
      </c>
      <c r="I28" s="110">
        <f t="shared" si="1"/>
        <v>0</v>
      </c>
      <c r="J28" s="110">
        <f t="shared" si="2"/>
        <v>0</v>
      </c>
      <c r="K28" s="110">
        <v>0</v>
      </c>
      <c r="L28" s="110">
        <f t="shared" si="3"/>
        <v>0</v>
      </c>
      <c r="M28" s="111">
        <v>0</v>
      </c>
      <c r="N28" s="149"/>
      <c r="O28" s="150">
        <v>0</v>
      </c>
      <c r="P28" s="61">
        <v>0</v>
      </c>
      <c r="Q28" s="74" t="s">
        <v>49</v>
      </c>
      <c r="R28" s="55"/>
    </row>
    <row r="29" spans="1:18" ht="51.75" customHeight="1" thickBot="1" x14ac:dyDescent="0.3">
      <c r="A29" s="26" t="s">
        <v>172</v>
      </c>
      <c r="B29" s="27" t="s">
        <v>197</v>
      </c>
      <c r="C29" s="27" t="s">
        <v>43</v>
      </c>
      <c r="D29" s="70" t="s">
        <v>44</v>
      </c>
      <c r="E29" s="121" t="s">
        <v>47</v>
      </c>
      <c r="F29" s="112">
        <v>3</v>
      </c>
      <c r="G29" s="144" t="s">
        <v>48</v>
      </c>
      <c r="H29" s="115">
        <f t="shared" si="0"/>
        <v>0</v>
      </c>
      <c r="I29" s="115">
        <f t="shared" si="1"/>
        <v>0</v>
      </c>
      <c r="J29" s="115">
        <f t="shared" si="2"/>
        <v>0</v>
      </c>
      <c r="K29" s="115">
        <v>0</v>
      </c>
      <c r="L29" s="115">
        <f t="shared" si="3"/>
        <v>0</v>
      </c>
      <c r="M29" s="116">
        <v>0</v>
      </c>
      <c r="N29" s="154"/>
      <c r="O29" s="146">
        <v>0</v>
      </c>
      <c r="P29" s="63">
        <v>15</v>
      </c>
      <c r="Q29" s="75" t="s">
        <v>50</v>
      </c>
      <c r="R29" s="58"/>
    </row>
    <row r="30" spans="1:18" ht="15.75" thickBot="1" x14ac:dyDescent="0.3">
      <c r="A30" s="309" t="s">
        <v>0</v>
      </c>
      <c r="B30" s="310"/>
      <c r="C30" s="310"/>
      <c r="D30" s="310"/>
      <c r="E30" s="310"/>
      <c r="F30" s="311"/>
      <c r="G30" s="22"/>
      <c r="H30" s="23">
        <f t="shared" ref="H30:M30" si="4">SUM(H15:H29)</f>
        <v>5749.4600000000009</v>
      </c>
      <c r="I30" s="23">
        <f t="shared" si="4"/>
        <v>5461.99</v>
      </c>
      <c r="J30" s="23">
        <f t="shared" si="4"/>
        <v>0</v>
      </c>
      <c r="K30" s="23">
        <f t="shared" si="4"/>
        <v>251.68</v>
      </c>
      <c r="L30" s="23">
        <f t="shared" si="4"/>
        <v>35.79</v>
      </c>
      <c r="M30" s="23">
        <f t="shared" si="4"/>
        <v>0</v>
      </c>
      <c r="O30" s="21">
        <f>I30+J30</f>
        <v>5461.99</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25" zoomScale="90" zoomScaleNormal="90" zoomScaleSheetLayoutView="100" workbookViewId="0">
      <selection activeCell="A26" sqref="A26:M35"/>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6384" width="9.140625" style="1"/>
  </cols>
  <sheetData>
    <row r="1" spans="1:13" ht="15.75" thickBot="1" x14ac:dyDescent="0.3">
      <c r="A1" s="272" t="s">
        <v>265</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0</v>
      </c>
      <c r="F6" s="105">
        <f t="shared" ref="F6:F11" si="0">0.85*M6</f>
        <v>0</v>
      </c>
      <c r="G6" s="105">
        <f t="shared" ref="G6:G11" si="1">0.15*M6</f>
        <v>0</v>
      </c>
      <c r="H6" s="105">
        <f>((F6+G6)/95)*5</f>
        <v>0</v>
      </c>
      <c r="I6" s="105">
        <v>0</v>
      </c>
      <c r="J6" s="106">
        <v>0</v>
      </c>
      <c r="K6" s="42"/>
      <c r="L6" s="42"/>
      <c r="M6" s="43">
        <v>0</v>
      </c>
    </row>
    <row r="7" spans="1:13" ht="45.75" customHeight="1" thickBot="1" x14ac:dyDescent="0.3">
      <c r="A7" s="266"/>
      <c r="B7" s="107">
        <v>4</v>
      </c>
      <c r="C7" s="108" t="s">
        <v>200</v>
      </c>
      <c r="D7" s="109" t="s">
        <v>201</v>
      </c>
      <c r="E7" s="110">
        <f>F7+G7+H7+I7</f>
        <v>0</v>
      </c>
      <c r="F7" s="110">
        <f t="shared" si="0"/>
        <v>0</v>
      </c>
      <c r="G7" s="110">
        <f t="shared" si="1"/>
        <v>0</v>
      </c>
      <c r="H7" s="110">
        <f>((F7+G7)/95)*5</f>
        <v>0</v>
      </c>
      <c r="I7" s="110">
        <v>0</v>
      </c>
      <c r="J7" s="111">
        <v>0</v>
      </c>
      <c r="K7" s="44"/>
      <c r="L7" s="44"/>
      <c r="M7" s="45">
        <v>0</v>
      </c>
    </row>
    <row r="8" spans="1:13" ht="72.75" customHeight="1" thickBot="1" x14ac:dyDescent="0.3">
      <c r="A8" s="266"/>
      <c r="B8" s="107">
        <v>4</v>
      </c>
      <c r="C8" s="108" t="s">
        <v>200</v>
      </c>
      <c r="D8" s="109" t="s">
        <v>201</v>
      </c>
      <c r="E8" s="110">
        <f t="shared" ref="E8:E20" si="2">F8+G8+H8+I8</f>
        <v>0</v>
      </c>
      <c r="F8" s="110">
        <f t="shared" si="0"/>
        <v>0</v>
      </c>
      <c r="G8" s="110">
        <f t="shared" si="1"/>
        <v>0</v>
      </c>
      <c r="H8" s="110">
        <f>((F8+G8)/95)*5</f>
        <v>0</v>
      </c>
      <c r="I8" s="110">
        <v>0</v>
      </c>
      <c r="J8" s="111">
        <v>0</v>
      </c>
      <c r="K8" s="44"/>
      <c r="L8" s="44"/>
      <c r="M8" s="45">
        <v>0</v>
      </c>
    </row>
    <row r="9" spans="1:13" ht="54.75" customHeight="1" thickBot="1" x14ac:dyDescent="0.3">
      <c r="A9" s="266"/>
      <c r="B9" s="107">
        <v>4</v>
      </c>
      <c r="C9" s="108" t="s">
        <v>200</v>
      </c>
      <c r="D9" s="109" t="s">
        <v>201</v>
      </c>
      <c r="E9" s="110">
        <f t="shared" si="2"/>
        <v>0</v>
      </c>
      <c r="F9" s="110">
        <f t="shared" si="0"/>
        <v>0</v>
      </c>
      <c r="G9" s="110">
        <f t="shared" si="1"/>
        <v>0</v>
      </c>
      <c r="H9" s="110">
        <v>0</v>
      </c>
      <c r="I9" s="110">
        <f>((F9+G9)/95)*5</f>
        <v>0</v>
      </c>
      <c r="J9" s="111">
        <v>0</v>
      </c>
      <c r="K9" s="44"/>
      <c r="L9" s="44"/>
      <c r="M9" s="45">
        <v>0</v>
      </c>
    </row>
    <row r="10" spans="1:13" ht="45.75" customHeight="1" thickBot="1" x14ac:dyDescent="0.3">
      <c r="A10" s="266"/>
      <c r="B10" s="107">
        <v>4</v>
      </c>
      <c r="C10" s="108" t="s">
        <v>200</v>
      </c>
      <c r="D10" s="109" t="s">
        <v>201</v>
      </c>
      <c r="E10" s="110">
        <f t="shared" si="2"/>
        <v>0</v>
      </c>
      <c r="F10" s="110">
        <f t="shared" si="0"/>
        <v>0</v>
      </c>
      <c r="G10" s="110">
        <f t="shared" si="1"/>
        <v>0</v>
      </c>
      <c r="H10" s="110">
        <f>(((F10+G10)/95)*5)/10*9</f>
        <v>0</v>
      </c>
      <c r="I10" s="110">
        <f>(((F10+G10)/95)*5)/10</f>
        <v>0</v>
      </c>
      <c r="J10" s="111">
        <v>0</v>
      </c>
      <c r="K10" s="44"/>
      <c r="L10" s="44"/>
      <c r="M10" s="45">
        <v>0</v>
      </c>
    </row>
    <row r="11" spans="1:13" ht="72.75" customHeight="1" thickBot="1" x14ac:dyDescent="0.3">
      <c r="A11" s="267"/>
      <c r="B11" s="112">
        <v>4</v>
      </c>
      <c r="C11" s="113" t="s">
        <v>200</v>
      </c>
      <c r="D11" s="114" t="s">
        <v>201</v>
      </c>
      <c r="E11" s="115">
        <f t="shared" si="2"/>
        <v>0</v>
      </c>
      <c r="F11" s="115">
        <f t="shared" si="0"/>
        <v>0</v>
      </c>
      <c r="G11" s="115">
        <f t="shared" si="1"/>
        <v>0</v>
      </c>
      <c r="H11" s="115">
        <f>(((F11+G11)/95)*5)</f>
        <v>0</v>
      </c>
      <c r="I11" s="115">
        <v>0</v>
      </c>
      <c r="J11" s="116">
        <v>0</v>
      </c>
      <c r="K11" s="46"/>
      <c r="L11" s="46"/>
      <c r="M11" s="47">
        <v>0</v>
      </c>
    </row>
    <row r="12" spans="1:13" ht="33" customHeight="1" thickBot="1" x14ac:dyDescent="0.3">
      <c r="A12" s="265" t="s">
        <v>27</v>
      </c>
      <c r="B12" s="102">
        <v>6</v>
      </c>
      <c r="C12" s="103" t="s">
        <v>202</v>
      </c>
      <c r="D12" s="104" t="s">
        <v>203</v>
      </c>
      <c r="E12" s="105">
        <f t="shared" si="2"/>
        <v>0</v>
      </c>
      <c r="F12" s="105">
        <f t="shared" ref="F12:F20" si="3">0.75*M12</f>
        <v>0</v>
      </c>
      <c r="G12" s="105">
        <f t="shared" ref="G12:G20" si="4">0.25*M12</f>
        <v>0</v>
      </c>
      <c r="H12" s="105">
        <v>0</v>
      </c>
      <c r="I12" s="105">
        <f>((F12+G12)/(100-N12))*N12</f>
        <v>0</v>
      </c>
      <c r="J12" s="106">
        <v>0</v>
      </c>
      <c r="K12" s="42"/>
      <c r="L12" s="42"/>
      <c r="M12" s="43">
        <v>0</v>
      </c>
    </row>
    <row r="13" spans="1:13" ht="34.5" customHeight="1" thickBot="1" x14ac:dyDescent="0.3">
      <c r="A13" s="266"/>
      <c r="B13" s="107">
        <v>6</v>
      </c>
      <c r="C13" s="108" t="s">
        <v>202</v>
      </c>
      <c r="D13" s="109" t="s">
        <v>203</v>
      </c>
      <c r="E13" s="110">
        <f t="shared" si="2"/>
        <v>0</v>
      </c>
      <c r="F13" s="110">
        <f t="shared" si="3"/>
        <v>0</v>
      </c>
      <c r="G13" s="110">
        <f t="shared" si="4"/>
        <v>0</v>
      </c>
      <c r="H13" s="110">
        <v>0</v>
      </c>
      <c r="I13" s="110">
        <f>((F13+G13)/(100-N13))*N13</f>
        <v>0</v>
      </c>
      <c r="J13" s="111">
        <v>0</v>
      </c>
      <c r="K13" s="44"/>
      <c r="L13" s="44"/>
      <c r="M13" s="45">
        <v>0</v>
      </c>
    </row>
    <row r="14" spans="1:13" ht="63.75" customHeight="1" thickBot="1" x14ac:dyDescent="0.3">
      <c r="A14" s="266"/>
      <c r="B14" s="107">
        <v>6</v>
      </c>
      <c r="C14" s="108" t="s">
        <v>202</v>
      </c>
      <c r="D14" s="109" t="s">
        <v>203</v>
      </c>
      <c r="E14" s="110">
        <f t="shared" si="2"/>
        <v>0</v>
      </c>
      <c r="F14" s="110">
        <f t="shared" si="3"/>
        <v>0</v>
      </c>
      <c r="G14" s="110">
        <f t="shared" si="4"/>
        <v>0</v>
      </c>
      <c r="H14" s="110">
        <v>0</v>
      </c>
      <c r="I14" s="110">
        <f>((F14+G14)/(100-N14))*N14</f>
        <v>0</v>
      </c>
      <c r="J14" s="111">
        <v>0</v>
      </c>
      <c r="K14" s="44"/>
      <c r="L14" s="44"/>
      <c r="M14" s="45">
        <v>0</v>
      </c>
    </row>
    <row r="15" spans="1:13" ht="81.75" customHeight="1" thickBot="1" x14ac:dyDescent="0.3">
      <c r="A15" s="266"/>
      <c r="B15" s="107">
        <v>6</v>
      </c>
      <c r="C15" s="108" t="s">
        <v>202</v>
      </c>
      <c r="D15" s="109" t="s">
        <v>203</v>
      </c>
      <c r="E15" s="110">
        <f t="shared" si="2"/>
        <v>0</v>
      </c>
      <c r="F15" s="110">
        <f t="shared" si="3"/>
        <v>0</v>
      </c>
      <c r="G15" s="110">
        <f t="shared" si="4"/>
        <v>0</v>
      </c>
      <c r="H15" s="110">
        <v>0</v>
      </c>
      <c r="I15" s="110">
        <f t="shared" ref="I15:I20" si="5">((F15+G15)/(100-N15))*N15</f>
        <v>0</v>
      </c>
      <c r="J15" s="111">
        <v>0</v>
      </c>
      <c r="K15" s="44"/>
      <c r="L15" s="44"/>
      <c r="M15" s="45">
        <v>0</v>
      </c>
    </row>
    <row r="16" spans="1:13" ht="54.75" customHeight="1" thickBot="1" x14ac:dyDescent="0.3">
      <c r="A16" s="267"/>
      <c r="B16" s="112">
        <v>6</v>
      </c>
      <c r="C16" s="113" t="s">
        <v>202</v>
      </c>
      <c r="D16" s="114" t="s">
        <v>204</v>
      </c>
      <c r="E16" s="115">
        <f t="shared" si="2"/>
        <v>0</v>
      </c>
      <c r="F16" s="115">
        <f t="shared" si="3"/>
        <v>0</v>
      </c>
      <c r="G16" s="115">
        <f t="shared" si="4"/>
        <v>0</v>
      </c>
      <c r="H16" s="115">
        <v>0</v>
      </c>
      <c r="I16" s="115">
        <f t="shared" si="5"/>
        <v>0</v>
      </c>
      <c r="J16" s="116">
        <v>0</v>
      </c>
      <c r="K16" s="46"/>
      <c r="L16" s="46"/>
      <c r="M16" s="47">
        <v>0</v>
      </c>
    </row>
    <row r="17" spans="1:13" ht="63.75" customHeight="1" thickBot="1" x14ac:dyDescent="0.3">
      <c r="A17" s="265" t="s">
        <v>44</v>
      </c>
      <c r="B17" s="117">
        <v>2</v>
      </c>
      <c r="C17" s="118">
        <v>3</v>
      </c>
      <c r="D17" s="104" t="s">
        <v>205</v>
      </c>
      <c r="E17" s="105">
        <f t="shared" si="2"/>
        <v>0</v>
      </c>
      <c r="F17" s="105">
        <f t="shared" si="3"/>
        <v>0</v>
      </c>
      <c r="G17" s="105">
        <f t="shared" si="4"/>
        <v>0</v>
      </c>
      <c r="H17" s="105">
        <v>0</v>
      </c>
      <c r="I17" s="105">
        <f t="shared" si="5"/>
        <v>0</v>
      </c>
      <c r="J17" s="106">
        <v>0</v>
      </c>
      <c r="K17" s="48" t="s">
        <v>45</v>
      </c>
      <c r="L17" s="42"/>
      <c r="M17" s="43">
        <v>0</v>
      </c>
    </row>
    <row r="18" spans="1:13" ht="54.75" customHeight="1" thickBot="1" x14ac:dyDescent="0.3">
      <c r="A18" s="266"/>
      <c r="B18" s="119">
        <v>2</v>
      </c>
      <c r="C18" s="120">
        <v>3</v>
      </c>
      <c r="D18" s="109" t="s">
        <v>205</v>
      </c>
      <c r="E18" s="110">
        <f t="shared" si="2"/>
        <v>0</v>
      </c>
      <c r="F18" s="110">
        <f t="shared" si="3"/>
        <v>0</v>
      </c>
      <c r="G18" s="110">
        <f t="shared" si="4"/>
        <v>0</v>
      </c>
      <c r="H18" s="110">
        <v>0</v>
      </c>
      <c r="I18" s="110">
        <f t="shared" si="5"/>
        <v>0</v>
      </c>
      <c r="J18" s="111">
        <v>0</v>
      </c>
      <c r="K18" s="261" t="s">
        <v>199</v>
      </c>
      <c r="L18" s="262"/>
      <c r="M18" s="45">
        <v>0</v>
      </c>
    </row>
    <row r="19" spans="1:13" ht="45.75" customHeight="1" thickBot="1" x14ac:dyDescent="0.3">
      <c r="A19" s="266"/>
      <c r="B19" s="119" t="s">
        <v>47</v>
      </c>
      <c r="C19" s="120">
        <v>3</v>
      </c>
      <c r="D19" s="109" t="s">
        <v>205</v>
      </c>
      <c r="E19" s="110">
        <f t="shared" si="2"/>
        <v>0</v>
      </c>
      <c r="F19" s="110">
        <f t="shared" si="3"/>
        <v>0</v>
      </c>
      <c r="G19" s="110">
        <f t="shared" si="4"/>
        <v>0</v>
      </c>
      <c r="H19" s="110">
        <v>0</v>
      </c>
      <c r="I19" s="110">
        <f t="shared" si="5"/>
        <v>0</v>
      </c>
      <c r="J19" s="111">
        <v>0</v>
      </c>
      <c r="K19" s="261" t="s">
        <v>49</v>
      </c>
      <c r="L19" s="262"/>
      <c r="M19" s="45">
        <v>0</v>
      </c>
    </row>
    <row r="20" spans="1:13" ht="63.75" customHeight="1" thickBot="1" x14ac:dyDescent="0.3">
      <c r="A20" s="267"/>
      <c r="B20" s="121" t="s">
        <v>47</v>
      </c>
      <c r="C20" s="122">
        <v>3</v>
      </c>
      <c r="D20" s="114" t="s">
        <v>205</v>
      </c>
      <c r="E20" s="115">
        <f t="shared" si="2"/>
        <v>0</v>
      </c>
      <c r="F20" s="115">
        <f t="shared" si="3"/>
        <v>0</v>
      </c>
      <c r="G20" s="115">
        <f t="shared" si="4"/>
        <v>0</v>
      </c>
      <c r="H20" s="115">
        <v>0</v>
      </c>
      <c r="I20" s="115">
        <f t="shared" si="5"/>
        <v>0</v>
      </c>
      <c r="J20" s="116">
        <v>0</v>
      </c>
      <c r="K20" s="49" t="s">
        <v>50</v>
      </c>
      <c r="L20" s="46"/>
      <c r="M20" s="47">
        <v>0</v>
      </c>
    </row>
    <row r="21" spans="1:13" ht="15.75" thickBot="1" x14ac:dyDescent="0.3">
      <c r="A21" s="263" t="s">
        <v>0</v>
      </c>
      <c r="B21" s="264"/>
      <c r="C21" s="264"/>
      <c r="D21" s="264"/>
      <c r="E21" s="23">
        <f t="shared" ref="E21:J21" si="6">SUM(E6:E20)</f>
        <v>0</v>
      </c>
      <c r="F21" s="23">
        <f t="shared" si="6"/>
        <v>0</v>
      </c>
      <c r="G21" s="23">
        <f t="shared" si="6"/>
        <v>0</v>
      </c>
      <c r="H21" s="23">
        <f t="shared" si="6"/>
        <v>0</v>
      </c>
      <c r="I21" s="23">
        <f t="shared" si="6"/>
        <v>0</v>
      </c>
      <c r="J21" s="23">
        <f t="shared" si="6"/>
        <v>0</v>
      </c>
      <c r="K21"/>
      <c r="L21"/>
      <c r="M21" s="21">
        <f>F21+G21</f>
        <v>0</v>
      </c>
    </row>
    <row r="26" spans="1:13" ht="15.75" thickBot="1" x14ac:dyDescent="0.3">
      <c r="A26" s="283" t="s">
        <v>314</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0</v>
      </c>
      <c r="F31" s="105">
        <f>0.85*M31</f>
        <v>0</v>
      </c>
      <c r="G31" s="105">
        <f>0.15*M31</f>
        <v>0</v>
      </c>
      <c r="H31" s="105">
        <f>((F31+G31)/95)*5</f>
        <v>0</v>
      </c>
      <c r="I31" s="105">
        <v>0</v>
      </c>
      <c r="J31" s="106">
        <v>0</v>
      </c>
      <c r="K31" s="170"/>
      <c r="L31" s="171"/>
      <c r="M31" s="172"/>
    </row>
    <row r="32" spans="1:13" ht="27.75" thickBot="1" x14ac:dyDescent="0.3">
      <c r="A32" s="266" t="s">
        <v>27</v>
      </c>
      <c r="B32" s="107">
        <v>6</v>
      </c>
      <c r="C32" s="108" t="s">
        <v>202</v>
      </c>
      <c r="D32" s="109" t="s">
        <v>203</v>
      </c>
      <c r="E32" s="110">
        <f>F32+G32+H32+I32</f>
        <v>0</v>
      </c>
      <c r="F32" s="110">
        <f>0.75*M32</f>
        <v>0</v>
      </c>
      <c r="G32" s="110">
        <f>0.25*M32</f>
        <v>0</v>
      </c>
      <c r="H32" s="110">
        <v>0</v>
      </c>
      <c r="I32" s="110">
        <f>((F32+G32)/(100-N32))*N32</f>
        <v>0</v>
      </c>
      <c r="J32" s="111">
        <v>0</v>
      </c>
      <c r="K32" s="44"/>
      <c r="L32" s="44"/>
      <c r="M32" s="54"/>
    </row>
    <row r="33" spans="1:13" ht="18" x14ac:dyDescent="0.25">
      <c r="A33" s="266"/>
      <c r="B33" s="160">
        <v>6</v>
      </c>
      <c r="C33" s="162" t="s">
        <v>202</v>
      </c>
      <c r="D33" s="163" t="s">
        <v>204</v>
      </c>
      <c r="E33" s="164">
        <f>F33+G33+H33+I33</f>
        <v>0</v>
      </c>
      <c r="F33" s="166">
        <f>0.75*M33</f>
        <v>0</v>
      </c>
      <c r="G33" s="166">
        <f>0.25*M33</f>
        <v>0</v>
      </c>
      <c r="H33" s="166">
        <v>0</v>
      </c>
      <c r="I33" s="166">
        <f>((F33+G33)/(100-N33))*N33</f>
        <v>0</v>
      </c>
      <c r="J33" s="167">
        <v>0</v>
      </c>
      <c r="K33" s="44"/>
      <c r="L33" s="169"/>
      <c r="M33" s="54"/>
    </row>
    <row r="34" spans="1:13" ht="36.75" thickBot="1" x14ac:dyDescent="0.3">
      <c r="A34" s="159" t="s">
        <v>44</v>
      </c>
      <c r="B34" s="121" t="s">
        <v>47</v>
      </c>
      <c r="C34" s="161">
        <v>3</v>
      </c>
      <c r="D34" s="114" t="s">
        <v>205</v>
      </c>
      <c r="E34" s="165">
        <f>F34+G34+H34+I34</f>
        <v>0</v>
      </c>
      <c r="F34" s="115">
        <f>0.75*M34</f>
        <v>0</v>
      </c>
      <c r="G34" s="115">
        <f>0.25*M34</f>
        <v>0</v>
      </c>
      <c r="H34" s="115">
        <v>0</v>
      </c>
      <c r="I34" s="115">
        <f>((F34+G34)/(100-N34))*N34</f>
        <v>0</v>
      </c>
      <c r="J34" s="116">
        <v>0</v>
      </c>
      <c r="K34" s="168"/>
      <c r="L34" s="169"/>
      <c r="M34" s="174"/>
    </row>
    <row r="35" spans="1:13" ht="15.75" thickBot="1" x14ac:dyDescent="0.3">
      <c r="A35" s="263" t="s">
        <v>0</v>
      </c>
      <c r="B35" s="264"/>
      <c r="C35" s="264"/>
      <c r="D35" s="264"/>
      <c r="E35" s="23">
        <f t="shared" ref="E35:J35" si="7">SUM(E31:E34)</f>
        <v>0</v>
      </c>
      <c r="F35" s="23">
        <f t="shared" si="7"/>
        <v>0</v>
      </c>
      <c r="G35" s="23">
        <f t="shared" si="7"/>
        <v>0</v>
      </c>
      <c r="H35" s="23">
        <f t="shared" si="7"/>
        <v>0</v>
      </c>
      <c r="I35" s="23">
        <f t="shared" si="7"/>
        <v>0</v>
      </c>
      <c r="J35" s="23">
        <f t="shared" si="7"/>
        <v>0</v>
      </c>
      <c r="K35"/>
      <c r="L35"/>
      <c r="M35" s="21"/>
    </row>
  </sheetData>
  <mergeCells count="28">
    <mergeCell ref="A32:A33"/>
    <mergeCell ref="A35:D35"/>
    <mergeCell ref="A26:M26"/>
    <mergeCell ref="A27:A30"/>
    <mergeCell ref="B27:B30"/>
    <mergeCell ref="C27:C30"/>
    <mergeCell ref="D27:D30"/>
    <mergeCell ref="E27:I27"/>
    <mergeCell ref="J27:J30"/>
    <mergeCell ref="E28:E30"/>
    <mergeCell ref="F28:G29"/>
    <mergeCell ref="H28:I29"/>
    <mergeCell ref="A1:M1"/>
    <mergeCell ref="E2:I2"/>
    <mergeCell ref="J2:J5"/>
    <mergeCell ref="E3:E5"/>
    <mergeCell ref="F3:G4"/>
    <mergeCell ref="H3:I4"/>
    <mergeCell ref="A21:D21"/>
    <mergeCell ref="A2:A5"/>
    <mergeCell ref="B2:B5"/>
    <mergeCell ref="C2:C5"/>
    <mergeCell ref="D2:D5"/>
    <mergeCell ref="K18:L18"/>
    <mergeCell ref="K19:L19"/>
    <mergeCell ref="A6:A11"/>
    <mergeCell ref="A12:A16"/>
    <mergeCell ref="A17:A20"/>
  </mergeCells>
  <pageMargins left="0.7" right="0.7" top="0.78740157499999996" bottom="0.78740157499999996" header="0.3" footer="0.3"/>
  <pageSetup paperSize="8" scale="95" orientation="landscape" r:id="rId1"/>
  <rowBreaks count="1" manualBreakCount="1">
    <brk id="1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20" zoomScaleNormal="100" zoomScaleSheetLayoutView="100" workbookViewId="0">
      <selection activeCell="E34" sqref="E34"/>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0.85546875" style="1" bestFit="1" customWidth="1"/>
    <col min="14" max="16384" width="9.140625" style="1"/>
  </cols>
  <sheetData>
    <row r="1" spans="1:13" ht="15.75" thickBot="1" x14ac:dyDescent="0.3">
      <c r="A1" s="272" t="s">
        <v>266</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6315.7894736842109</v>
      </c>
      <c r="F6" s="105">
        <f>0.85*M6+900</f>
        <v>6000</v>
      </c>
      <c r="G6" s="105">
        <v>0</v>
      </c>
      <c r="H6" s="105">
        <f>((F6+G6)/95)*5</f>
        <v>315.78947368421052</v>
      </c>
      <c r="I6" s="105">
        <v>0</v>
      </c>
      <c r="J6" s="106">
        <v>0</v>
      </c>
      <c r="K6" s="42"/>
      <c r="L6" s="42"/>
      <c r="M6" s="43">
        <f>6000000/1000</f>
        <v>6000</v>
      </c>
    </row>
    <row r="7" spans="1:13" ht="45.75" customHeight="1" thickBot="1" x14ac:dyDescent="0.3">
      <c r="A7" s="266"/>
      <c r="B7" s="107">
        <v>4</v>
      </c>
      <c r="C7" s="108" t="s">
        <v>200</v>
      </c>
      <c r="D7" s="109" t="s">
        <v>201</v>
      </c>
      <c r="E7" s="110">
        <f t="shared" ref="E7:E16" si="0">F7+G7+H7+I7</f>
        <v>1052.6315789473683</v>
      </c>
      <c r="F7" s="110">
        <f>0.85*M7+150</f>
        <v>1000</v>
      </c>
      <c r="G7" s="110">
        <v>0</v>
      </c>
      <c r="H7" s="110">
        <f>((F7+G7)/95)*5</f>
        <v>52.631578947368425</v>
      </c>
      <c r="I7" s="110">
        <v>0</v>
      </c>
      <c r="J7" s="111">
        <v>0</v>
      </c>
      <c r="K7" s="44"/>
      <c r="L7" s="44"/>
      <c r="M7" s="45">
        <f>1000000/1000</f>
        <v>1000</v>
      </c>
    </row>
    <row r="8" spans="1:13" ht="72.75" customHeight="1" thickBot="1" x14ac:dyDescent="0.3">
      <c r="A8" s="266"/>
      <c r="B8" s="107">
        <v>4</v>
      </c>
      <c r="C8" s="108" t="s">
        <v>200</v>
      </c>
      <c r="D8" s="109" t="s">
        <v>201</v>
      </c>
      <c r="E8" s="110">
        <f t="shared" si="0"/>
        <v>2631.5789473684208</v>
      </c>
      <c r="F8" s="110">
        <f>0.85*M8+375</f>
        <v>2500</v>
      </c>
      <c r="G8" s="110">
        <v>0</v>
      </c>
      <c r="H8" s="110">
        <f>((F8+G8)/95)*5</f>
        <v>131.57894736842104</v>
      </c>
      <c r="I8" s="110">
        <v>0</v>
      </c>
      <c r="J8" s="111">
        <v>0</v>
      </c>
      <c r="K8" s="44"/>
      <c r="L8" s="44"/>
      <c r="M8" s="45">
        <f>2500000/1000</f>
        <v>2500</v>
      </c>
    </row>
    <row r="9" spans="1:13" ht="54.75" customHeight="1" thickBot="1" x14ac:dyDescent="0.3">
      <c r="A9" s="266"/>
      <c r="B9" s="107">
        <v>4</v>
      </c>
      <c r="C9" s="108" t="s">
        <v>200</v>
      </c>
      <c r="D9" s="109" t="s">
        <v>201</v>
      </c>
      <c r="E9" s="110">
        <f t="shared" si="0"/>
        <v>1052.6315789473683</v>
      </c>
      <c r="F9" s="110">
        <f>0.85*M9+150</f>
        <v>1000</v>
      </c>
      <c r="G9" s="110">
        <v>0</v>
      </c>
      <c r="H9" s="110">
        <v>0</v>
      </c>
      <c r="I9" s="110">
        <f>((F9+G9)/95)*5</f>
        <v>52.631578947368425</v>
      </c>
      <c r="J9" s="111">
        <v>0</v>
      </c>
      <c r="K9" s="44"/>
      <c r="L9" s="44"/>
      <c r="M9" s="45">
        <f>1000000/1000</f>
        <v>1000</v>
      </c>
    </row>
    <row r="10" spans="1:13" ht="45.75" customHeight="1" thickBot="1" x14ac:dyDescent="0.3">
      <c r="A10" s="266"/>
      <c r="B10" s="107">
        <v>4</v>
      </c>
      <c r="C10" s="108" t="s">
        <v>200</v>
      </c>
      <c r="D10" s="109" t="s">
        <v>201</v>
      </c>
      <c r="E10" s="110">
        <f t="shared" si="0"/>
        <v>1052.6315789473686</v>
      </c>
      <c r="F10" s="110">
        <f>0.85*M10+150</f>
        <v>1000</v>
      </c>
      <c r="G10" s="110">
        <v>0</v>
      </c>
      <c r="H10" s="110">
        <f>(((F10+G10)/95)*5)/10*9</f>
        <v>47.368421052631582</v>
      </c>
      <c r="I10" s="110">
        <f>(((F10+G10)/95)*5)/10</f>
        <v>5.2631578947368425</v>
      </c>
      <c r="J10" s="111">
        <v>0</v>
      </c>
      <c r="K10" s="44"/>
      <c r="L10" s="44"/>
      <c r="M10" s="45">
        <f>1000000/1000</f>
        <v>1000</v>
      </c>
    </row>
    <row r="11" spans="1:13" ht="72.75" customHeight="1" thickBot="1" x14ac:dyDescent="0.3">
      <c r="A11" s="267"/>
      <c r="B11" s="112">
        <v>4</v>
      </c>
      <c r="C11" s="113" t="s">
        <v>200</v>
      </c>
      <c r="D11" s="114" t="s">
        <v>201</v>
      </c>
      <c r="E11" s="115">
        <f t="shared" si="0"/>
        <v>0</v>
      </c>
      <c r="F11" s="115">
        <f>0.85*M11</f>
        <v>0</v>
      </c>
      <c r="G11" s="115">
        <f>0.15*M11</f>
        <v>0</v>
      </c>
      <c r="H11" s="115">
        <f>(((F11+G11)/95)*5)</f>
        <v>0</v>
      </c>
      <c r="I11" s="115">
        <v>0</v>
      </c>
      <c r="J11" s="116">
        <v>0</v>
      </c>
      <c r="K11" s="46"/>
      <c r="L11" s="46"/>
      <c r="M11" s="47">
        <v>0</v>
      </c>
    </row>
    <row r="12" spans="1:13" ht="32.25" customHeight="1" thickBot="1" x14ac:dyDescent="0.3">
      <c r="A12" s="265" t="s">
        <v>27</v>
      </c>
      <c r="B12" s="102">
        <v>6</v>
      </c>
      <c r="C12" s="103" t="s">
        <v>202</v>
      </c>
      <c r="D12" s="104" t="s">
        <v>203</v>
      </c>
      <c r="E12" s="105">
        <f t="shared" si="0"/>
        <v>4000</v>
      </c>
      <c r="F12" s="105">
        <f>0.75*M12</f>
        <v>1500</v>
      </c>
      <c r="G12" s="105">
        <f>0.25*M12</f>
        <v>500</v>
      </c>
      <c r="H12" s="105">
        <v>0</v>
      </c>
      <c r="I12" s="105">
        <v>2000</v>
      </c>
      <c r="J12" s="106">
        <v>0</v>
      </c>
      <c r="K12" s="42"/>
      <c r="L12" s="42"/>
      <c r="M12" s="43">
        <f>2000000/1000</f>
        <v>2000</v>
      </c>
    </row>
    <row r="13" spans="1:13" ht="33" customHeight="1" thickBot="1" x14ac:dyDescent="0.3">
      <c r="A13" s="266"/>
      <c r="B13" s="107">
        <v>6</v>
      </c>
      <c r="C13" s="108" t="s">
        <v>202</v>
      </c>
      <c r="D13" s="109" t="s">
        <v>203</v>
      </c>
      <c r="E13" s="110">
        <f t="shared" si="0"/>
        <v>1250</v>
      </c>
      <c r="F13" s="110">
        <f>0.75*M13</f>
        <v>750</v>
      </c>
      <c r="G13" s="110">
        <f>0.25*M13</f>
        <v>250</v>
      </c>
      <c r="H13" s="110">
        <v>0</v>
      </c>
      <c r="I13" s="110">
        <v>250</v>
      </c>
      <c r="J13" s="111">
        <v>0</v>
      </c>
      <c r="K13" s="44"/>
      <c r="L13" s="44"/>
      <c r="M13" s="45">
        <f>1000000/1000</f>
        <v>1000</v>
      </c>
    </row>
    <row r="14" spans="1:13" ht="63.75" customHeight="1" thickBot="1" x14ac:dyDescent="0.3">
      <c r="A14" s="266"/>
      <c r="B14" s="107">
        <v>6</v>
      </c>
      <c r="C14" s="108" t="s">
        <v>202</v>
      </c>
      <c r="D14" s="109" t="s">
        <v>203</v>
      </c>
      <c r="E14" s="110">
        <f t="shared" si="0"/>
        <v>24444.440000000002</v>
      </c>
      <c r="F14" s="110">
        <f>0.75*M14</f>
        <v>8250</v>
      </c>
      <c r="G14" s="110">
        <f>0.25*M14</f>
        <v>2750</v>
      </c>
      <c r="H14" s="110">
        <v>0</v>
      </c>
      <c r="I14" s="110">
        <v>13444.44</v>
      </c>
      <c r="J14" s="111">
        <v>0</v>
      </c>
      <c r="K14" s="44"/>
      <c r="L14" s="44"/>
      <c r="M14" s="45">
        <f>11000000/1000</f>
        <v>11000</v>
      </c>
    </row>
    <row r="15" spans="1:13" ht="81.75" customHeight="1" thickBot="1" x14ac:dyDescent="0.3">
      <c r="A15" s="266"/>
      <c r="B15" s="107">
        <v>6</v>
      </c>
      <c r="C15" s="108" t="s">
        <v>202</v>
      </c>
      <c r="D15" s="109" t="s">
        <v>203</v>
      </c>
      <c r="E15" s="110">
        <f t="shared" si="0"/>
        <v>0</v>
      </c>
      <c r="F15" s="110">
        <f>0.75*M15</f>
        <v>0</v>
      </c>
      <c r="G15" s="110">
        <f>0.25*M15</f>
        <v>0</v>
      </c>
      <c r="H15" s="110">
        <v>0</v>
      </c>
      <c r="I15" s="110">
        <f>((F15+G15)/(100-N15))*N15</f>
        <v>0</v>
      </c>
      <c r="J15" s="111">
        <v>0</v>
      </c>
      <c r="K15" s="44"/>
      <c r="L15" s="44"/>
      <c r="M15" s="45">
        <v>0</v>
      </c>
    </row>
    <row r="16" spans="1:13" ht="54.75" customHeight="1" thickBot="1" x14ac:dyDescent="0.3">
      <c r="A16" s="267"/>
      <c r="B16" s="112">
        <v>6</v>
      </c>
      <c r="C16" s="113" t="s">
        <v>202</v>
      </c>
      <c r="D16" s="114" t="s">
        <v>204</v>
      </c>
      <c r="E16" s="115">
        <f t="shared" si="0"/>
        <v>790.84999999999991</v>
      </c>
      <c r="F16" s="115">
        <f>0.75*M16</f>
        <v>474.51</v>
      </c>
      <c r="G16" s="115">
        <f>0.25*M16</f>
        <v>158.16999999999999</v>
      </c>
      <c r="H16" s="115">
        <v>0</v>
      </c>
      <c r="I16" s="115">
        <v>158.16999999999999</v>
      </c>
      <c r="J16" s="116">
        <v>0</v>
      </c>
      <c r="K16" s="46"/>
      <c r="L16" s="46"/>
      <c r="M16" s="47">
        <f>632680/1000</f>
        <v>632.67999999999995</v>
      </c>
    </row>
    <row r="17" spans="1:13" ht="63.75" customHeight="1" thickBot="1" x14ac:dyDescent="0.3">
      <c r="A17" s="265" t="s">
        <v>44</v>
      </c>
      <c r="B17" s="117">
        <v>2</v>
      </c>
      <c r="C17" s="118">
        <v>3</v>
      </c>
      <c r="D17" s="104" t="s">
        <v>205</v>
      </c>
      <c r="E17" s="105">
        <v>1566.24</v>
      </c>
      <c r="F17" s="105">
        <v>1331.3040000000001</v>
      </c>
      <c r="G17" s="105">
        <v>234.93600000000001</v>
      </c>
      <c r="H17" s="105">
        <v>0</v>
      </c>
      <c r="I17" s="105">
        <v>0</v>
      </c>
      <c r="J17" s="106">
        <v>0</v>
      </c>
      <c r="K17" s="287" t="s">
        <v>45</v>
      </c>
      <c r="L17" s="288"/>
      <c r="M17" s="127">
        <f>1566240/1000</f>
        <v>1566.24</v>
      </c>
    </row>
    <row r="18" spans="1:13" ht="54.75" customHeight="1" thickBot="1" x14ac:dyDescent="0.3">
      <c r="A18" s="266"/>
      <c r="B18" s="119">
        <v>2</v>
      </c>
      <c r="C18" s="120">
        <v>3</v>
      </c>
      <c r="D18" s="109" t="s">
        <v>205</v>
      </c>
      <c r="E18" s="110">
        <v>391.57</v>
      </c>
      <c r="F18" s="110">
        <v>332.83449999999999</v>
      </c>
      <c r="G18" s="110">
        <v>58.735500000000002</v>
      </c>
      <c r="H18" s="110">
        <v>0</v>
      </c>
      <c r="I18" s="110">
        <f>((F18+G18)/(100-N18))*N18</f>
        <v>0</v>
      </c>
      <c r="J18" s="111">
        <v>0</v>
      </c>
      <c r="K18" s="285" t="s">
        <v>199</v>
      </c>
      <c r="L18" s="286"/>
      <c r="M18" s="124">
        <f>391560/1000</f>
        <v>391.56</v>
      </c>
    </row>
    <row r="19" spans="1:13" ht="45.75" customHeight="1" thickBot="1" x14ac:dyDescent="0.3">
      <c r="A19" s="266"/>
      <c r="B19" s="119" t="s">
        <v>47</v>
      </c>
      <c r="C19" s="120">
        <v>3</v>
      </c>
      <c r="D19" s="109" t="s">
        <v>205</v>
      </c>
      <c r="E19" s="110">
        <v>587.36</v>
      </c>
      <c r="F19" s="110">
        <v>499.25599999999997</v>
      </c>
      <c r="G19" s="110">
        <v>88.103999999999999</v>
      </c>
      <c r="H19" s="110">
        <v>0</v>
      </c>
      <c r="I19" s="110">
        <v>0</v>
      </c>
      <c r="J19" s="111">
        <v>0</v>
      </c>
      <c r="K19" s="285" t="s">
        <v>49</v>
      </c>
      <c r="L19" s="286"/>
      <c r="M19" s="124">
        <f>587350/1000</f>
        <v>587.35</v>
      </c>
    </row>
    <row r="20" spans="1:13" ht="63.75" customHeight="1" thickBot="1" x14ac:dyDescent="0.3">
      <c r="A20" s="267"/>
      <c r="B20" s="121" t="s">
        <v>47</v>
      </c>
      <c r="C20" s="122">
        <v>3</v>
      </c>
      <c r="D20" s="114" t="s">
        <v>205</v>
      </c>
      <c r="E20" s="115">
        <v>1370.47</v>
      </c>
      <c r="F20" s="115">
        <v>1164.8995</v>
      </c>
      <c r="G20" s="115">
        <v>205.57050000000001</v>
      </c>
      <c r="H20" s="115">
        <v>0</v>
      </c>
      <c r="I20" s="115">
        <v>0</v>
      </c>
      <c r="J20" s="116">
        <v>0</v>
      </c>
      <c r="K20" s="289" t="s">
        <v>50</v>
      </c>
      <c r="L20" s="290"/>
      <c r="M20" s="126">
        <f>1370470/1000</f>
        <v>1370.47</v>
      </c>
    </row>
    <row r="21" spans="1:13" ht="15.75" thickBot="1" x14ac:dyDescent="0.3">
      <c r="A21" s="263" t="s">
        <v>0</v>
      </c>
      <c r="B21" s="264"/>
      <c r="C21" s="264"/>
      <c r="D21" s="264"/>
      <c r="E21" s="23">
        <f t="shared" ref="E21:J21" si="1">SUM(E6:E20)</f>
        <v>46506.193157894733</v>
      </c>
      <c r="F21" s="23">
        <f t="shared" si="1"/>
        <v>25802.804</v>
      </c>
      <c r="G21" s="23">
        <f t="shared" si="1"/>
        <v>4245.5160000000005</v>
      </c>
      <c r="H21" s="23">
        <f t="shared" si="1"/>
        <v>547.36842105263156</v>
      </c>
      <c r="I21" s="23">
        <f t="shared" si="1"/>
        <v>15910.504736842106</v>
      </c>
      <c r="J21" s="23">
        <f t="shared" si="1"/>
        <v>0</v>
      </c>
      <c r="K21"/>
      <c r="L21"/>
      <c r="M21" s="21">
        <f>F21+G21</f>
        <v>30048.32</v>
      </c>
    </row>
    <row r="26" spans="1:13" ht="15.75" thickBot="1" x14ac:dyDescent="0.3">
      <c r="A26" s="283" t="s">
        <v>313</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12105.263157894737</v>
      </c>
      <c r="F31" s="105">
        <f>F6+F7+F8+F9+F10+F11</f>
        <v>11500</v>
      </c>
      <c r="G31" s="105">
        <f>G6+G7+G8+G9+G10+G11</f>
        <v>0</v>
      </c>
      <c r="H31" s="105">
        <f>H6+H7+H8+H9+H10+H11</f>
        <v>547.36842105263156</v>
      </c>
      <c r="I31" s="105">
        <f>I6+I7+I8+I9+I10+I11</f>
        <v>57.894736842105267</v>
      </c>
      <c r="J31" s="106">
        <f>J6+J7+J8+J9+J10+J11</f>
        <v>0</v>
      </c>
      <c r="K31" s="170"/>
      <c r="L31" s="171"/>
      <c r="M31" s="172"/>
    </row>
    <row r="32" spans="1:13" ht="27.75" thickBot="1" x14ac:dyDescent="0.3">
      <c r="A32" s="266" t="s">
        <v>27</v>
      </c>
      <c r="B32" s="107">
        <v>6</v>
      </c>
      <c r="C32" s="108" t="s">
        <v>202</v>
      </c>
      <c r="D32" s="109" t="s">
        <v>203</v>
      </c>
      <c r="E32" s="110">
        <f>F32+G32+H32+I32</f>
        <v>29694.440000000002</v>
      </c>
      <c r="F32" s="110">
        <f>F12+F13+F14+F15</f>
        <v>10500</v>
      </c>
      <c r="G32" s="110">
        <f>G12+G13+G14+G15</f>
        <v>3500</v>
      </c>
      <c r="H32" s="110">
        <f>H12+H13+H14+H15</f>
        <v>0</v>
      </c>
      <c r="I32" s="110">
        <f>I12+I13+I14+I15</f>
        <v>15694.44</v>
      </c>
      <c r="J32" s="111">
        <f>J12+J13+J14+J15</f>
        <v>0</v>
      </c>
      <c r="K32" s="44"/>
      <c r="L32" s="44"/>
      <c r="M32" s="54"/>
    </row>
    <row r="33" spans="1:13" ht="18" x14ac:dyDescent="0.25">
      <c r="A33" s="266"/>
      <c r="B33" s="160">
        <v>6</v>
      </c>
      <c r="C33" s="162" t="s">
        <v>202</v>
      </c>
      <c r="D33" s="163" t="s">
        <v>204</v>
      </c>
      <c r="E33" s="164">
        <f>F33+G33+H33+I33</f>
        <v>790.84999999999991</v>
      </c>
      <c r="F33" s="166">
        <f>F16</f>
        <v>474.51</v>
      </c>
      <c r="G33" s="166">
        <f>G16</f>
        <v>158.16999999999999</v>
      </c>
      <c r="H33" s="166">
        <f>H16</f>
        <v>0</v>
      </c>
      <c r="I33" s="166">
        <f>I16</f>
        <v>158.16999999999999</v>
      </c>
      <c r="J33" s="167">
        <f>J16</f>
        <v>0</v>
      </c>
      <c r="K33" s="44"/>
      <c r="L33" s="169"/>
      <c r="M33" s="54"/>
    </row>
    <row r="34" spans="1:13" ht="36.75" thickBot="1" x14ac:dyDescent="0.3">
      <c r="A34" s="159" t="s">
        <v>44</v>
      </c>
      <c r="B34" s="121" t="s">
        <v>47</v>
      </c>
      <c r="C34" s="161">
        <v>3</v>
      </c>
      <c r="D34" s="114" t="s">
        <v>205</v>
      </c>
      <c r="E34" s="165">
        <f>E20+E19+E18+E17</f>
        <v>3915.6400000000003</v>
      </c>
      <c r="F34" s="165">
        <f t="shared" ref="F34:G34" si="2">F20+F19+F18+F17</f>
        <v>3328.2939999999999</v>
      </c>
      <c r="G34" s="165">
        <f t="shared" si="2"/>
        <v>587.346</v>
      </c>
      <c r="H34" s="115">
        <f>H17+H18+H19+H20</f>
        <v>0</v>
      </c>
      <c r="I34" s="115">
        <f>I17+I18+I19+I20</f>
        <v>0</v>
      </c>
      <c r="J34" s="116">
        <f>J17+J18+J19+J20</f>
        <v>0</v>
      </c>
      <c r="K34" s="168"/>
      <c r="L34" s="169"/>
      <c r="M34" s="174"/>
    </row>
    <row r="35" spans="1:13" ht="15.75" thickBot="1" x14ac:dyDescent="0.3">
      <c r="A35" s="263" t="s">
        <v>0</v>
      </c>
      <c r="B35" s="264"/>
      <c r="C35" s="264"/>
      <c r="D35" s="264"/>
      <c r="E35" s="23">
        <f t="shared" ref="E35:J35" si="3">SUM(E31:E34)</f>
        <v>46506.193157894733</v>
      </c>
      <c r="F35" s="23">
        <f t="shared" si="3"/>
        <v>25802.803999999996</v>
      </c>
      <c r="G35" s="23">
        <f t="shared" si="3"/>
        <v>4245.5159999999996</v>
      </c>
      <c r="H35" s="23">
        <f t="shared" si="3"/>
        <v>547.36842105263156</v>
      </c>
      <c r="I35" s="23">
        <f t="shared" si="3"/>
        <v>15910.504736842106</v>
      </c>
      <c r="J35" s="23">
        <f t="shared" si="3"/>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9:L19"/>
    <mergeCell ref="K18:L18"/>
    <mergeCell ref="K17:L17"/>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9" scale="90" orientation="landscape" r:id="rId1"/>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5" zoomScale="110" zoomScaleNormal="110" zoomScaleSheetLayoutView="90" workbookViewId="0">
      <selection activeCell="E17" sqref="E17:J20"/>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1.7109375" style="1" customWidth="1"/>
    <col min="14" max="16384" width="9.140625" style="1"/>
  </cols>
  <sheetData>
    <row r="1" spans="1:13" ht="15.75" thickBot="1" x14ac:dyDescent="0.3">
      <c r="A1" s="272" t="s">
        <v>267</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16" si="0">F8+G8+H8+I8</f>
        <v>1012.6226315789474</v>
      </c>
      <c r="F8" s="110">
        <f>0.85*M8+144.3</f>
        <v>961.99150000000009</v>
      </c>
      <c r="G8" s="110">
        <v>0</v>
      </c>
      <c r="H8" s="110">
        <f>((F8+G8)/95)*5</f>
        <v>50.631131578947375</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f>0.15*M90</f>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28.5" customHeight="1" thickBot="1" x14ac:dyDescent="0.3">
      <c r="A12" s="265" t="s">
        <v>27</v>
      </c>
      <c r="B12" s="102">
        <v>6</v>
      </c>
      <c r="C12" s="103" t="s">
        <v>202</v>
      </c>
      <c r="D12" s="104" t="s">
        <v>203</v>
      </c>
      <c r="E12" s="105">
        <f t="shared" si="0"/>
        <v>688</v>
      </c>
      <c r="F12" s="105">
        <f>0.75*M12</f>
        <v>258</v>
      </c>
      <c r="G12" s="105">
        <f>0.25*M12</f>
        <v>86</v>
      </c>
      <c r="H12" s="105">
        <v>0</v>
      </c>
      <c r="I12" s="105">
        <v>344</v>
      </c>
      <c r="J12" s="106">
        <v>0</v>
      </c>
      <c r="K12" s="42"/>
      <c r="L12" s="42"/>
      <c r="M12" s="43">
        <f>344000/1000</f>
        <v>344</v>
      </c>
    </row>
    <row r="13" spans="1:13" ht="32.25" customHeight="1" thickBot="1" x14ac:dyDescent="0.3">
      <c r="A13" s="266"/>
      <c r="B13" s="107">
        <v>6</v>
      </c>
      <c r="C13" s="108" t="s">
        <v>202</v>
      </c>
      <c r="D13" s="109" t="s">
        <v>203</v>
      </c>
      <c r="E13" s="110">
        <f t="shared" si="0"/>
        <v>1250</v>
      </c>
      <c r="F13" s="110">
        <f>0.75*M13</f>
        <v>750</v>
      </c>
      <c r="G13" s="110">
        <f>0.25*M13</f>
        <v>250</v>
      </c>
      <c r="H13" s="110">
        <v>0</v>
      </c>
      <c r="I13" s="110">
        <v>250</v>
      </c>
      <c r="J13" s="111">
        <v>0</v>
      </c>
      <c r="K13" s="44"/>
      <c r="L13" s="44"/>
      <c r="M13" s="45">
        <f>1000000/1000</f>
        <v>1000</v>
      </c>
    </row>
    <row r="14" spans="1:13" ht="63.75" customHeight="1" thickBot="1" x14ac:dyDescent="0.3">
      <c r="A14" s="266"/>
      <c r="B14" s="107">
        <v>6</v>
      </c>
      <c r="C14" s="108" t="s">
        <v>202</v>
      </c>
      <c r="D14" s="109" t="s">
        <v>203</v>
      </c>
      <c r="E14" s="110">
        <f t="shared" si="0"/>
        <v>4000</v>
      </c>
      <c r="F14" s="110">
        <f>0.75*M14</f>
        <v>1350</v>
      </c>
      <c r="G14" s="110">
        <f>0.25*M14</f>
        <v>450</v>
      </c>
      <c r="H14" s="110">
        <v>0</v>
      </c>
      <c r="I14" s="110">
        <v>2200</v>
      </c>
      <c r="J14" s="111">
        <v>0</v>
      </c>
      <c r="K14" s="44"/>
      <c r="L14" s="44"/>
      <c r="M14" s="45">
        <f>1800000/1000</f>
        <v>1800</v>
      </c>
    </row>
    <row r="15" spans="1:13" ht="81.75" customHeight="1" thickBot="1" x14ac:dyDescent="0.3">
      <c r="A15" s="266"/>
      <c r="B15" s="107">
        <v>6</v>
      </c>
      <c r="C15" s="108" t="s">
        <v>202</v>
      </c>
      <c r="D15" s="109" t="s">
        <v>203</v>
      </c>
      <c r="E15" s="110">
        <f t="shared" si="0"/>
        <v>600</v>
      </c>
      <c r="F15" s="110">
        <f>0.75*M15</f>
        <v>225</v>
      </c>
      <c r="G15" s="110">
        <f>0.25*M15</f>
        <v>75</v>
      </c>
      <c r="H15" s="110">
        <v>0</v>
      </c>
      <c r="I15" s="110">
        <v>300</v>
      </c>
      <c r="J15" s="111">
        <v>0</v>
      </c>
      <c r="K15" s="44"/>
      <c r="L15" s="44"/>
      <c r="M15" s="45">
        <f>300000/1000</f>
        <v>300</v>
      </c>
    </row>
    <row r="16" spans="1:13" ht="54.75" customHeight="1" thickBot="1" x14ac:dyDescent="0.3">
      <c r="A16" s="267"/>
      <c r="B16" s="112">
        <v>6</v>
      </c>
      <c r="C16" s="113" t="s">
        <v>202</v>
      </c>
      <c r="D16" s="114" t="s">
        <v>204</v>
      </c>
      <c r="E16" s="115">
        <f t="shared" si="0"/>
        <v>0</v>
      </c>
      <c r="F16" s="115">
        <f>0.75*M16</f>
        <v>0</v>
      </c>
      <c r="G16" s="115">
        <f>0.25*M16</f>
        <v>0</v>
      </c>
      <c r="H16" s="115">
        <v>0</v>
      </c>
      <c r="I16" s="115">
        <f>((F16+G16)/(100-N16))*N16</f>
        <v>0</v>
      </c>
      <c r="J16" s="116">
        <v>0</v>
      </c>
      <c r="K16" s="46"/>
      <c r="L16" s="46"/>
      <c r="M16" s="47">
        <v>0</v>
      </c>
    </row>
    <row r="17" spans="1:13" ht="63.75" customHeight="1" thickBot="1" x14ac:dyDescent="0.3">
      <c r="A17" s="265" t="s">
        <v>44</v>
      </c>
      <c r="B17" s="117">
        <v>2</v>
      </c>
      <c r="C17" s="118">
        <v>3</v>
      </c>
      <c r="D17" s="104" t="s">
        <v>205</v>
      </c>
      <c r="E17" s="105">
        <v>1044.1600000000001</v>
      </c>
      <c r="F17" s="105">
        <v>887.53599999999994</v>
      </c>
      <c r="G17" s="105">
        <v>156.624</v>
      </c>
      <c r="H17" s="105">
        <v>0</v>
      </c>
      <c r="I17" s="105">
        <v>0</v>
      </c>
      <c r="J17" s="106">
        <v>0</v>
      </c>
      <c r="K17" s="291" t="s">
        <v>45</v>
      </c>
      <c r="L17" s="292"/>
      <c r="M17" s="43">
        <f>1044160/1000</f>
        <v>1044.1600000000001</v>
      </c>
    </row>
    <row r="18" spans="1:13" ht="54.75" customHeight="1" thickBot="1" x14ac:dyDescent="0.3">
      <c r="A18" s="266"/>
      <c r="B18" s="119">
        <v>2</v>
      </c>
      <c r="C18" s="120">
        <v>3</v>
      </c>
      <c r="D18" s="109" t="s">
        <v>205</v>
      </c>
      <c r="E18" s="110">
        <v>261.04000000000002</v>
      </c>
      <c r="F18" s="110">
        <v>221.88399999999999</v>
      </c>
      <c r="G18" s="110">
        <v>39.155999999999999</v>
      </c>
      <c r="H18" s="110">
        <v>0</v>
      </c>
      <c r="I18" s="110">
        <f>((F18+G18)/(100-N18))*N18</f>
        <v>0</v>
      </c>
      <c r="J18" s="111">
        <v>0</v>
      </c>
      <c r="K18" s="261" t="s">
        <v>199</v>
      </c>
      <c r="L18" s="262"/>
      <c r="M18" s="45">
        <f>261040/1000</f>
        <v>261.04000000000002</v>
      </c>
    </row>
    <row r="19" spans="1:13" ht="45.75" customHeight="1" thickBot="1" x14ac:dyDescent="0.3">
      <c r="A19" s="266"/>
      <c r="B19" s="119" t="s">
        <v>47</v>
      </c>
      <c r="C19" s="120">
        <v>3</v>
      </c>
      <c r="D19" s="109" t="s">
        <v>205</v>
      </c>
      <c r="E19" s="110">
        <v>391.57</v>
      </c>
      <c r="F19" s="110">
        <v>332.83449999999999</v>
      </c>
      <c r="G19" s="110">
        <v>58.735500000000002</v>
      </c>
      <c r="H19" s="110">
        <v>0</v>
      </c>
      <c r="I19" s="110">
        <v>0</v>
      </c>
      <c r="J19" s="111">
        <v>0</v>
      </c>
      <c r="K19" s="261" t="s">
        <v>49</v>
      </c>
      <c r="L19" s="262"/>
      <c r="M19" s="45">
        <f>391560/1000</f>
        <v>391.56</v>
      </c>
    </row>
    <row r="20" spans="1:13" ht="63.75" customHeight="1" thickBot="1" x14ac:dyDescent="0.3">
      <c r="A20" s="267"/>
      <c r="B20" s="121" t="s">
        <v>47</v>
      </c>
      <c r="C20" s="122">
        <v>3</v>
      </c>
      <c r="D20" s="114" t="s">
        <v>205</v>
      </c>
      <c r="E20" s="115">
        <v>913.64</v>
      </c>
      <c r="F20" s="115">
        <v>776.59400000000005</v>
      </c>
      <c r="G20" s="115">
        <v>137.04599999999999</v>
      </c>
      <c r="H20" s="115">
        <v>0</v>
      </c>
      <c r="I20" s="115">
        <v>0</v>
      </c>
      <c r="J20" s="116">
        <v>0</v>
      </c>
      <c r="K20" s="293" t="s">
        <v>50</v>
      </c>
      <c r="L20" s="294"/>
      <c r="M20" s="126">
        <f>913640/1000</f>
        <v>913.64</v>
      </c>
    </row>
    <row r="21" spans="1:13" ht="15.75" thickBot="1" x14ac:dyDescent="0.3">
      <c r="A21" s="263" t="s">
        <v>0</v>
      </c>
      <c r="B21" s="264"/>
      <c r="C21" s="264"/>
      <c r="D21" s="264"/>
      <c r="E21" s="23">
        <f t="shared" ref="E21:J21" si="1">SUM(E6:E20)</f>
        <v>14897.874736842106</v>
      </c>
      <c r="F21" s="23">
        <f t="shared" si="1"/>
        <v>10263.84</v>
      </c>
      <c r="G21" s="23">
        <f t="shared" si="1"/>
        <v>1252.5615</v>
      </c>
      <c r="H21" s="23">
        <f t="shared" si="1"/>
        <v>251.68376315789473</v>
      </c>
      <c r="I21" s="23">
        <f t="shared" si="1"/>
        <v>3129.7894736842104</v>
      </c>
      <c r="J21" s="23">
        <f t="shared" si="1"/>
        <v>0</v>
      </c>
      <c r="K21"/>
      <c r="L21"/>
      <c r="M21" s="21">
        <f>F21+G21</f>
        <v>11516.4015</v>
      </c>
    </row>
    <row r="26" spans="1:13" ht="15.75" thickBot="1" x14ac:dyDescent="0.3">
      <c r="A26" s="283" t="s">
        <v>312</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5749.4647368421056</v>
      </c>
      <c r="F31" s="105">
        <f>F6+F7+F8+F9+F10+F11</f>
        <v>5461.9915000000001</v>
      </c>
      <c r="G31" s="105">
        <f>G6+G7+G8+G9+G10+G11</f>
        <v>0</v>
      </c>
      <c r="H31" s="105">
        <f>H6+H7+H8+H9+H10+H11</f>
        <v>251.68376315789473</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6538</v>
      </c>
      <c r="F32" s="110">
        <f>F12+F13+F14+F15</f>
        <v>2583</v>
      </c>
      <c r="G32" s="110">
        <f>G12+G13+G14+G15</f>
        <v>861</v>
      </c>
      <c r="H32" s="110">
        <f>H12+H13+H14+H15</f>
        <v>0</v>
      </c>
      <c r="I32" s="110">
        <f>I12+I13+I14+I15</f>
        <v>3094</v>
      </c>
      <c r="J32" s="111">
        <f>J12+J13+J14+J15</f>
        <v>0</v>
      </c>
      <c r="K32" s="44"/>
      <c r="L32" s="44"/>
      <c r="M32" s="54"/>
    </row>
    <row r="33" spans="1:13" ht="18" x14ac:dyDescent="0.25">
      <c r="A33" s="266"/>
      <c r="B33" s="160">
        <v>6</v>
      </c>
      <c r="C33" s="162" t="s">
        <v>202</v>
      </c>
      <c r="D33" s="163" t="s">
        <v>204</v>
      </c>
      <c r="E33" s="164">
        <f>F33+G33+H33+I33</f>
        <v>0</v>
      </c>
      <c r="F33" s="166">
        <f>F16</f>
        <v>0</v>
      </c>
      <c r="G33" s="166">
        <f>G16</f>
        <v>0</v>
      </c>
      <c r="H33" s="166">
        <f>H16</f>
        <v>0</v>
      </c>
      <c r="I33" s="166">
        <f>I16</f>
        <v>0</v>
      </c>
      <c r="J33" s="167">
        <f>J16</f>
        <v>0</v>
      </c>
      <c r="K33" s="44"/>
      <c r="L33" s="169"/>
      <c r="M33" s="54"/>
    </row>
    <row r="34" spans="1:13" ht="36.75" thickBot="1" x14ac:dyDescent="0.3">
      <c r="A34" s="159" t="s">
        <v>44</v>
      </c>
      <c r="B34" s="121" t="s">
        <v>47</v>
      </c>
      <c r="C34" s="161">
        <v>3</v>
      </c>
      <c r="D34" s="114" t="s">
        <v>205</v>
      </c>
      <c r="E34" s="165">
        <f>E20+E19+E18+E17</f>
        <v>2610.41</v>
      </c>
      <c r="F34" s="165">
        <f t="shared" ref="F34:G34" si="2">F20+F19+F18+F17</f>
        <v>2218.8485000000001</v>
      </c>
      <c r="G34" s="165">
        <f t="shared" si="2"/>
        <v>391.56150000000002</v>
      </c>
      <c r="H34" s="115">
        <f>H17+H18+H19+H20</f>
        <v>0</v>
      </c>
      <c r="I34" s="115">
        <f>I17+I18+I19+I20</f>
        <v>0</v>
      </c>
      <c r="J34" s="116">
        <f>J17+J18+J19+J20</f>
        <v>0</v>
      </c>
      <c r="K34" s="168"/>
      <c r="L34" s="169"/>
      <c r="M34" s="174"/>
    </row>
    <row r="35" spans="1:13" ht="15.75" thickBot="1" x14ac:dyDescent="0.3">
      <c r="A35" s="263" t="s">
        <v>0</v>
      </c>
      <c r="B35" s="264"/>
      <c r="C35" s="264"/>
      <c r="D35" s="264"/>
      <c r="E35" s="23">
        <f t="shared" ref="E35:J35" si="3">SUM(E31:E34)</f>
        <v>14897.874736842106</v>
      </c>
      <c r="F35" s="23">
        <f t="shared" si="3"/>
        <v>10263.84</v>
      </c>
      <c r="G35" s="23">
        <f t="shared" si="3"/>
        <v>1252.5615</v>
      </c>
      <c r="H35" s="23">
        <f t="shared" si="3"/>
        <v>251.68376315789473</v>
      </c>
      <c r="I35" s="23">
        <f t="shared" si="3"/>
        <v>3129.7894736842104</v>
      </c>
      <c r="J35" s="23">
        <f t="shared" si="3"/>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8" scale="94" orientation="landscape" r:id="rId1"/>
  <rowBreaks count="1" manualBreakCount="1">
    <brk id="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5" zoomScale="120" zoomScaleNormal="120" zoomScaleSheetLayoutView="100" workbookViewId="0">
      <selection activeCell="E17" sqref="E17:J20"/>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2.140625" style="1" customWidth="1"/>
    <col min="14" max="16384" width="9.140625" style="1"/>
  </cols>
  <sheetData>
    <row r="1" spans="1:13" ht="15.75" thickBot="1" x14ac:dyDescent="0.3">
      <c r="A1" s="272" t="s">
        <v>268</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17" si="0">F8+G8+H8+I8</f>
        <v>1012.6226315789474</v>
      </c>
      <c r="F8" s="110">
        <f>0.85*M8+144.3</f>
        <v>961.99150000000009</v>
      </c>
      <c r="G8" s="110">
        <v>0</v>
      </c>
      <c r="H8" s="110">
        <f>((F8+G8)/95)*5</f>
        <v>50.631131578947375</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40.5" customHeight="1" thickBot="1" x14ac:dyDescent="0.3">
      <c r="A12" s="265" t="s">
        <v>27</v>
      </c>
      <c r="B12" s="102">
        <v>6</v>
      </c>
      <c r="C12" s="103" t="s">
        <v>202</v>
      </c>
      <c r="D12" s="104" t="s">
        <v>203</v>
      </c>
      <c r="E12" s="105">
        <f t="shared" si="0"/>
        <v>688</v>
      </c>
      <c r="F12" s="105">
        <f>0.75*M12</f>
        <v>258</v>
      </c>
      <c r="G12" s="105">
        <f>0.25*M12</f>
        <v>86</v>
      </c>
      <c r="H12" s="105">
        <v>0</v>
      </c>
      <c r="I12" s="105">
        <v>344</v>
      </c>
      <c r="J12" s="106">
        <v>0</v>
      </c>
      <c r="K12" s="42"/>
      <c r="L12" s="42"/>
      <c r="M12" s="43">
        <f>344000/1000</f>
        <v>344</v>
      </c>
    </row>
    <row r="13" spans="1:13" ht="33.75" customHeight="1" thickBot="1" x14ac:dyDescent="0.3">
      <c r="A13" s="266"/>
      <c r="B13" s="107">
        <v>6</v>
      </c>
      <c r="C13" s="108" t="s">
        <v>202</v>
      </c>
      <c r="D13" s="109" t="s">
        <v>203</v>
      </c>
      <c r="E13" s="110">
        <f t="shared" si="0"/>
        <v>625</v>
      </c>
      <c r="F13" s="110">
        <f>0.75*M13</f>
        <v>375</v>
      </c>
      <c r="G13" s="110">
        <f>0.25*M13</f>
        <v>125</v>
      </c>
      <c r="H13" s="110">
        <v>0</v>
      </c>
      <c r="I13" s="110">
        <v>125</v>
      </c>
      <c r="J13" s="111">
        <v>0</v>
      </c>
      <c r="K13" s="44"/>
      <c r="L13" s="44"/>
      <c r="M13" s="45">
        <f>500000/1000</f>
        <v>500</v>
      </c>
    </row>
    <row r="14" spans="1:13" ht="63.75" customHeight="1" thickBot="1" x14ac:dyDescent="0.3">
      <c r="A14" s="266"/>
      <c r="B14" s="107">
        <v>6</v>
      </c>
      <c r="C14" s="108" t="s">
        <v>202</v>
      </c>
      <c r="D14" s="109" t="s">
        <v>203</v>
      </c>
      <c r="E14" s="110">
        <f t="shared" si="0"/>
        <v>4000</v>
      </c>
      <c r="F14" s="110">
        <f>0.75*M14</f>
        <v>1350</v>
      </c>
      <c r="G14" s="110">
        <f>0.25*M14</f>
        <v>450</v>
      </c>
      <c r="H14" s="110">
        <v>0</v>
      </c>
      <c r="I14" s="110">
        <v>2200</v>
      </c>
      <c r="J14" s="111">
        <v>0</v>
      </c>
      <c r="K14" s="44"/>
      <c r="L14" s="44"/>
      <c r="M14" s="45">
        <f>1800000/1000</f>
        <v>1800</v>
      </c>
    </row>
    <row r="15" spans="1:13" ht="81.75" customHeight="1" thickBot="1" x14ac:dyDescent="0.3">
      <c r="A15" s="266"/>
      <c r="B15" s="107">
        <v>6</v>
      </c>
      <c r="C15" s="108" t="s">
        <v>202</v>
      </c>
      <c r="D15" s="109" t="s">
        <v>203</v>
      </c>
      <c r="E15" s="110">
        <f t="shared" si="0"/>
        <v>0</v>
      </c>
      <c r="F15" s="110">
        <f>0.75*M15</f>
        <v>0</v>
      </c>
      <c r="G15" s="110">
        <f>0.25*M15</f>
        <v>0</v>
      </c>
      <c r="H15" s="110">
        <v>0</v>
      </c>
      <c r="I15" s="110">
        <f>((F15+G15)/(100-N15))*N15</f>
        <v>0</v>
      </c>
      <c r="J15" s="111">
        <v>0</v>
      </c>
      <c r="K15" s="44"/>
      <c r="L15" s="44"/>
      <c r="M15" s="45">
        <v>0</v>
      </c>
    </row>
    <row r="16" spans="1:13" ht="54.75" customHeight="1" thickBot="1" x14ac:dyDescent="0.3">
      <c r="A16" s="267"/>
      <c r="B16" s="112">
        <v>6</v>
      </c>
      <c r="C16" s="113" t="s">
        <v>202</v>
      </c>
      <c r="D16" s="114" t="s">
        <v>204</v>
      </c>
      <c r="E16" s="115">
        <f t="shared" si="0"/>
        <v>395.42999999999995</v>
      </c>
      <c r="F16" s="115">
        <f>0.75*M16</f>
        <v>237.255</v>
      </c>
      <c r="G16" s="115">
        <f>0.25*M16</f>
        <v>79.084999999999994</v>
      </c>
      <c r="H16" s="115">
        <v>0</v>
      </c>
      <c r="I16" s="115">
        <v>79.09</v>
      </c>
      <c r="J16" s="116">
        <v>0</v>
      </c>
      <c r="K16" s="46"/>
      <c r="L16" s="46"/>
      <c r="M16" s="47">
        <f>316340/1000</f>
        <v>316.33999999999997</v>
      </c>
    </row>
    <row r="17" spans="1:13" ht="63.75" customHeight="1" thickBot="1" x14ac:dyDescent="0.3">
      <c r="A17" s="265" t="s">
        <v>44</v>
      </c>
      <c r="B17" s="117">
        <v>2</v>
      </c>
      <c r="C17" s="118">
        <v>3</v>
      </c>
      <c r="D17" s="104" t="s">
        <v>205</v>
      </c>
      <c r="E17" s="105">
        <f t="shared" si="0"/>
        <v>1044.1599999999999</v>
      </c>
      <c r="F17" s="105">
        <v>887.53599999999994</v>
      </c>
      <c r="G17" s="105">
        <v>156.624</v>
      </c>
      <c r="H17" s="105">
        <v>0</v>
      </c>
      <c r="I17" s="105">
        <v>0</v>
      </c>
      <c r="J17" s="106">
        <v>0</v>
      </c>
      <c r="K17" s="291" t="s">
        <v>45</v>
      </c>
      <c r="L17" s="292"/>
      <c r="M17" s="43">
        <f>1044160/1000</f>
        <v>1044.1600000000001</v>
      </c>
    </row>
    <row r="18" spans="1:13" ht="54.75" customHeight="1" thickBot="1" x14ac:dyDescent="0.3">
      <c r="A18" s="266"/>
      <c r="B18" s="119">
        <v>2</v>
      </c>
      <c r="C18" s="120">
        <v>3</v>
      </c>
      <c r="D18" s="109" t="s">
        <v>205</v>
      </c>
      <c r="E18" s="110">
        <v>261.04000000000002</v>
      </c>
      <c r="F18" s="110">
        <v>221.88399999999999</v>
      </c>
      <c r="G18" s="110">
        <v>39.155999999999999</v>
      </c>
      <c r="H18" s="110">
        <v>0</v>
      </c>
      <c r="I18" s="110">
        <f>((F18+G18)/(100-N18))*N18</f>
        <v>0</v>
      </c>
      <c r="J18" s="111">
        <v>0</v>
      </c>
      <c r="K18" s="261" t="s">
        <v>199</v>
      </c>
      <c r="L18" s="262"/>
      <c r="M18" s="45">
        <f>261040/1000</f>
        <v>261.04000000000002</v>
      </c>
    </row>
    <row r="19" spans="1:13" ht="45.75" customHeight="1" thickBot="1" x14ac:dyDescent="0.3">
      <c r="A19" s="266"/>
      <c r="B19" s="119" t="s">
        <v>47</v>
      </c>
      <c r="C19" s="120">
        <v>3</v>
      </c>
      <c r="D19" s="109" t="s">
        <v>205</v>
      </c>
      <c r="E19" s="110">
        <v>391.57</v>
      </c>
      <c r="F19" s="110">
        <f>ROUND(0.85*M19,2)</f>
        <v>332.83</v>
      </c>
      <c r="G19" s="110">
        <v>58.735500000000002</v>
      </c>
      <c r="H19" s="110">
        <v>0</v>
      </c>
      <c r="I19" s="110">
        <v>0</v>
      </c>
      <c r="J19" s="111">
        <v>0</v>
      </c>
      <c r="K19" s="261" t="s">
        <v>49</v>
      </c>
      <c r="L19" s="262"/>
      <c r="M19" s="45">
        <f>391560/1000</f>
        <v>391.56</v>
      </c>
    </row>
    <row r="20" spans="1:13" ht="63.75" customHeight="1" thickBot="1" x14ac:dyDescent="0.3">
      <c r="A20" s="267"/>
      <c r="B20" s="121" t="s">
        <v>47</v>
      </c>
      <c r="C20" s="122">
        <v>3</v>
      </c>
      <c r="D20" s="114" t="s">
        <v>205</v>
      </c>
      <c r="E20" s="115">
        <v>913.64</v>
      </c>
      <c r="F20" s="115">
        <v>776.59400000000005</v>
      </c>
      <c r="G20" s="115">
        <v>137.04599999999999</v>
      </c>
      <c r="H20" s="115">
        <v>0</v>
      </c>
      <c r="I20" s="115">
        <v>0</v>
      </c>
      <c r="J20" s="116">
        <v>0</v>
      </c>
      <c r="K20" s="293" t="s">
        <v>50</v>
      </c>
      <c r="L20" s="294"/>
      <c r="M20" s="126">
        <f>913640/1000</f>
        <v>913.64</v>
      </c>
    </row>
    <row r="21" spans="1:13" ht="15.75" thickBot="1" x14ac:dyDescent="0.3">
      <c r="A21" s="263" t="s">
        <v>0</v>
      </c>
      <c r="B21" s="264"/>
      <c r="C21" s="264"/>
      <c r="D21" s="264"/>
      <c r="E21" s="23">
        <f t="shared" ref="E21:J21" si="1">SUM(E6:E20)</f>
        <v>14068.304736842107</v>
      </c>
      <c r="F21" s="23">
        <f t="shared" si="1"/>
        <v>9901.0904999999984</v>
      </c>
      <c r="G21" s="23">
        <f t="shared" si="1"/>
        <v>1131.6465000000001</v>
      </c>
      <c r="H21" s="23">
        <f t="shared" si="1"/>
        <v>251.68376315789473</v>
      </c>
      <c r="I21" s="23">
        <f t="shared" si="1"/>
        <v>2783.8794736842106</v>
      </c>
      <c r="J21" s="23">
        <f t="shared" si="1"/>
        <v>0</v>
      </c>
      <c r="K21"/>
      <c r="L21"/>
      <c r="M21" s="21">
        <f>F21+G21</f>
        <v>11032.736999999999</v>
      </c>
    </row>
    <row r="26" spans="1:13" ht="15.75" thickBot="1" x14ac:dyDescent="0.3">
      <c r="A26" s="283" t="s">
        <v>311</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5749.4647368421056</v>
      </c>
      <c r="F31" s="105">
        <f>F6+F7+F8+F9+F10+F11</f>
        <v>5461.9915000000001</v>
      </c>
      <c r="G31" s="105">
        <f>G6+G7+G8+G9+G10+G11</f>
        <v>0</v>
      </c>
      <c r="H31" s="105">
        <f>H6+H7+H8+H9+H10+H11</f>
        <v>251.68376315789473</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5313</v>
      </c>
      <c r="F32" s="110">
        <f>F12+F13+F14+F15</f>
        <v>1983</v>
      </c>
      <c r="G32" s="110">
        <f>G12+G13+G14+G15</f>
        <v>661</v>
      </c>
      <c r="H32" s="110">
        <f>H12+H13+H14+H15</f>
        <v>0</v>
      </c>
      <c r="I32" s="110">
        <f>I12+I13+I14+I15</f>
        <v>2669</v>
      </c>
      <c r="J32" s="111">
        <f>J12+J13+J14+J15</f>
        <v>0</v>
      </c>
      <c r="K32" s="44"/>
      <c r="L32" s="44"/>
      <c r="M32" s="54"/>
    </row>
    <row r="33" spans="1:13" ht="18" x14ac:dyDescent="0.25">
      <c r="A33" s="266"/>
      <c r="B33" s="160">
        <v>6</v>
      </c>
      <c r="C33" s="162" t="s">
        <v>202</v>
      </c>
      <c r="D33" s="163" t="s">
        <v>204</v>
      </c>
      <c r="E33" s="164">
        <f>F33+G33+H33+I33</f>
        <v>395.42999999999995</v>
      </c>
      <c r="F33" s="166">
        <f>F16</f>
        <v>237.255</v>
      </c>
      <c r="G33" s="166">
        <f>G16</f>
        <v>79.084999999999994</v>
      </c>
      <c r="H33" s="166">
        <f>H16</f>
        <v>0</v>
      </c>
      <c r="I33" s="166">
        <f>I16</f>
        <v>79.09</v>
      </c>
      <c r="J33" s="167">
        <f>J16</f>
        <v>0</v>
      </c>
      <c r="K33" s="44"/>
      <c r="L33" s="169"/>
      <c r="M33" s="54"/>
    </row>
    <row r="34" spans="1:13" ht="36.75" thickBot="1" x14ac:dyDescent="0.3">
      <c r="A34" s="159" t="s">
        <v>44</v>
      </c>
      <c r="B34" s="121" t="s">
        <v>47</v>
      </c>
      <c r="C34" s="161">
        <v>3</v>
      </c>
      <c r="D34" s="114" t="s">
        <v>205</v>
      </c>
      <c r="E34" s="165">
        <f>E20+E19+E18+E17</f>
        <v>2610.41</v>
      </c>
      <c r="F34" s="165">
        <f t="shared" ref="F34:G34" si="2">F20+F19+F18+F17</f>
        <v>2218.8440000000001</v>
      </c>
      <c r="G34" s="165">
        <f t="shared" si="2"/>
        <v>391.56150000000002</v>
      </c>
      <c r="H34" s="115">
        <f>H17+H18+H19+H20</f>
        <v>0</v>
      </c>
      <c r="I34" s="115">
        <f>I17+I18+I19+I20</f>
        <v>0</v>
      </c>
      <c r="J34" s="116">
        <f>J17+J18+J19+J20</f>
        <v>0</v>
      </c>
      <c r="K34" s="168"/>
      <c r="L34" s="169"/>
      <c r="M34" s="174"/>
    </row>
    <row r="35" spans="1:13" ht="15.75" thickBot="1" x14ac:dyDescent="0.3">
      <c r="A35" s="263" t="s">
        <v>0</v>
      </c>
      <c r="B35" s="264"/>
      <c r="C35" s="264"/>
      <c r="D35" s="264"/>
      <c r="E35" s="23">
        <f t="shared" ref="E35:J35" si="3">SUM(E31:E34)</f>
        <v>14068.304736842107</v>
      </c>
      <c r="F35" s="23">
        <f t="shared" si="3"/>
        <v>9901.0905000000002</v>
      </c>
      <c r="G35" s="23">
        <f t="shared" si="3"/>
        <v>1131.6465000000001</v>
      </c>
      <c r="H35" s="23">
        <f t="shared" si="3"/>
        <v>251.68376315789473</v>
      </c>
      <c r="I35" s="23">
        <f t="shared" si="3"/>
        <v>2783.8794736842106</v>
      </c>
      <c r="J35" s="23">
        <f t="shared" si="3"/>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8" scale="93" orientation="landscape" r:id="rId1"/>
  <rowBreaks count="1" manualBreakCount="1">
    <brk id="1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6" zoomScale="120" zoomScaleNormal="120" zoomScaleSheetLayoutView="100" workbookViewId="0">
      <selection activeCell="E17" sqref="E17:J20"/>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1.5703125" style="1" customWidth="1"/>
    <col min="14" max="16384" width="9.140625" style="1"/>
  </cols>
  <sheetData>
    <row r="1" spans="1:13" ht="15.75" thickBot="1" x14ac:dyDescent="0.3">
      <c r="A1" s="272" t="s">
        <v>269</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16" si="0">F8+G8+H8+I8</f>
        <v>1012.621052631579</v>
      </c>
      <c r="F8" s="110">
        <f>817.69+144.3</f>
        <v>961.99</v>
      </c>
      <c r="G8" s="110">
        <v>0</v>
      </c>
      <c r="H8" s="110">
        <f>((F8+G8)/95)*5</f>
        <v>50.631052631578946</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29.25" customHeight="1" thickBot="1" x14ac:dyDescent="0.3">
      <c r="A12" s="265" t="s">
        <v>27</v>
      </c>
      <c r="B12" s="102">
        <v>6</v>
      </c>
      <c r="C12" s="103" t="s">
        <v>202</v>
      </c>
      <c r="D12" s="104" t="s">
        <v>203</v>
      </c>
      <c r="E12" s="105">
        <f t="shared" si="0"/>
        <v>688</v>
      </c>
      <c r="F12" s="105">
        <f>0.75*M12</f>
        <v>258</v>
      </c>
      <c r="G12" s="105">
        <f>0.25*M12</f>
        <v>86</v>
      </c>
      <c r="H12" s="105">
        <v>0</v>
      </c>
      <c r="I12" s="105">
        <v>344</v>
      </c>
      <c r="J12" s="106">
        <v>0</v>
      </c>
      <c r="K12" s="42"/>
      <c r="L12" s="42"/>
      <c r="M12" s="43">
        <f>344000/1000</f>
        <v>344</v>
      </c>
    </row>
    <row r="13" spans="1:13" ht="33" customHeight="1" thickBot="1" x14ac:dyDescent="0.3">
      <c r="A13" s="266"/>
      <c r="B13" s="107">
        <v>6</v>
      </c>
      <c r="C13" s="108" t="s">
        <v>202</v>
      </c>
      <c r="D13" s="109" t="s">
        <v>203</v>
      </c>
      <c r="E13" s="110">
        <f t="shared" si="0"/>
        <v>0</v>
      </c>
      <c r="F13" s="110">
        <f>0.75*M13</f>
        <v>0</v>
      </c>
      <c r="G13" s="110">
        <f>0.25*M13</f>
        <v>0</v>
      </c>
      <c r="H13" s="110">
        <v>0</v>
      </c>
      <c r="I13" s="110">
        <f>((F13+G13)/(100-N13))*N13</f>
        <v>0</v>
      </c>
      <c r="J13" s="111">
        <v>0</v>
      </c>
      <c r="K13" s="44"/>
      <c r="L13" s="44"/>
      <c r="M13" s="45">
        <v>0</v>
      </c>
    </row>
    <row r="14" spans="1:13" ht="63.75" customHeight="1" thickBot="1" x14ac:dyDescent="0.3">
      <c r="A14" s="266"/>
      <c r="B14" s="107">
        <v>6</v>
      </c>
      <c r="C14" s="108" t="s">
        <v>202</v>
      </c>
      <c r="D14" s="109" t="s">
        <v>203</v>
      </c>
      <c r="E14" s="110">
        <f t="shared" si="0"/>
        <v>4000</v>
      </c>
      <c r="F14" s="110">
        <f>0.75*M14</f>
        <v>1350</v>
      </c>
      <c r="G14" s="110">
        <f>0.25*M14</f>
        <v>450</v>
      </c>
      <c r="H14" s="110">
        <v>0</v>
      </c>
      <c r="I14" s="110">
        <v>2200</v>
      </c>
      <c r="J14" s="111">
        <v>0</v>
      </c>
      <c r="K14" s="44"/>
      <c r="L14" s="44"/>
      <c r="M14" s="45">
        <f>1800000/1000</f>
        <v>1800</v>
      </c>
    </row>
    <row r="15" spans="1:13" ht="81.75" customHeight="1" thickBot="1" x14ac:dyDescent="0.3">
      <c r="A15" s="266"/>
      <c r="B15" s="107">
        <v>6</v>
      </c>
      <c r="C15" s="108" t="s">
        <v>202</v>
      </c>
      <c r="D15" s="109" t="s">
        <v>203</v>
      </c>
      <c r="E15" s="110">
        <f t="shared" si="0"/>
        <v>0</v>
      </c>
      <c r="F15" s="110">
        <f>0.75*M15</f>
        <v>0</v>
      </c>
      <c r="G15" s="110">
        <f>0.25*M15</f>
        <v>0</v>
      </c>
      <c r="H15" s="110">
        <v>0</v>
      </c>
      <c r="I15" s="110">
        <f>((F15+G15)/(100-N15))*N15</f>
        <v>0</v>
      </c>
      <c r="J15" s="111">
        <v>0</v>
      </c>
      <c r="K15" s="44"/>
      <c r="L15" s="44"/>
      <c r="M15" s="45">
        <v>0</v>
      </c>
    </row>
    <row r="16" spans="1:13" ht="54.75" customHeight="1" thickBot="1" x14ac:dyDescent="0.3">
      <c r="A16" s="267"/>
      <c r="B16" s="112">
        <v>6</v>
      </c>
      <c r="C16" s="113" t="s">
        <v>202</v>
      </c>
      <c r="D16" s="114" t="s">
        <v>204</v>
      </c>
      <c r="E16" s="115">
        <f t="shared" si="0"/>
        <v>0</v>
      </c>
      <c r="F16" s="115">
        <f>0.75*M16</f>
        <v>0</v>
      </c>
      <c r="G16" s="115">
        <f>0.25*M16</f>
        <v>0</v>
      </c>
      <c r="H16" s="115">
        <v>0</v>
      </c>
      <c r="I16" s="115">
        <f>((F16+G16)/(100-N16))*N16</f>
        <v>0</v>
      </c>
      <c r="J16" s="116">
        <v>0</v>
      </c>
      <c r="K16" s="46"/>
      <c r="L16" s="46"/>
      <c r="M16" s="47">
        <v>0</v>
      </c>
    </row>
    <row r="17" spans="1:13" ht="63.75" customHeight="1" thickBot="1" x14ac:dyDescent="0.3">
      <c r="A17" s="265" t="s">
        <v>44</v>
      </c>
      <c r="B17" s="117">
        <v>2</v>
      </c>
      <c r="C17" s="118">
        <v>3</v>
      </c>
      <c r="D17" s="104" t="s">
        <v>205</v>
      </c>
      <c r="E17" s="105">
        <v>1044.1600000000001</v>
      </c>
      <c r="F17" s="105">
        <v>887.53599999999994</v>
      </c>
      <c r="G17" s="105">
        <v>156.624</v>
      </c>
      <c r="H17" s="105">
        <v>0</v>
      </c>
      <c r="I17" s="105">
        <v>0</v>
      </c>
      <c r="J17" s="106">
        <v>0</v>
      </c>
      <c r="K17" s="291" t="s">
        <v>45</v>
      </c>
      <c r="L17" s="292"/>
      <c r="M17" s="43">
        <f>1044160/1000</f>
        <v>1044.1600000000001</v>
      </c>
    </row>
    <row r="18" spans="1:13" ht="54.75" customHeight="1" thickBot="1" x14ac:dyDescent="0.3">
      <c r="A18" s="266"/>
      <c r="B18" s="119">
        <v>2</v>
      </c>
      <c r="C18" s="120">
        <v>3</v>
      </c>
      <c r="D18" s="109" t="s">
        <v>205</v>
      </c>
      <c r="E18" s="110">
        <v>261.04000000000002</v>
      </c>
      <c r="F18" s="110">
        <v>224.88399999999999</v>
      </c>
      <c r="G18" s="110">
        <v>39.155999999999999</v>
      </c>
      <c r="H18" s="110">
        <v>0</v>
      </c>
      <c r="I18" s="110">
        <f>((F18+G18)/(100-N18))*N18</f>
        <v>0</v>
      </c>
      <c r="J18" s="111">
        <v>0</v>
      </c>
      <c r="K18" s="261" t="s">
        <v>199</v>
      </c>
      <c r="L18" s="262"/>
      <c r="M18" s="45">
        <f>261040/1000</f>
        <v>261.04000000000002</v>
      </c>
    </row>
    <row r="19" spans="1:13" ht="45.75" customHeight="1" thickBot="1" x14ac:dyDescent="0.3">
      <c r="A19" s="266"/>
      <c r="B19" s="119" t="s">
        <v>47</v>
      </c>
      <c r="C19" s="120">
        <v>3</v>
      </c>
      <c r="D19" s="109" t="s">
        <v>205</v>
      </c>
      <c r="E19" s="110">
        <v>391.57</v>
      </c>
      <c r="F19" s="110">
        <v>332.83449999999999</v>
      </c>
      <c r="G19" s="110">
        <v>58.735500000000002</v>
      </c>
      <c r="H19" s="110">
        <v>0</v>
      </c>
      <c r="I19" s="110">
        <v>0</v>
      </c>
      <c r="J19" s="111">
        <v>0</v>
      </c>
      <c r="K19" s="261" t="s">
        <v>49</v>
      </c>
      <c r="L19" s="262"/>
      <c r="M19" s="45">
        <f>391560/1000</f>
        <v>391.56</v>
      </c>
    </row>
    <row r="20" spans="1:13" ht="63.75" customHeight="1" thickBot="1" x14ac:dyDescent="0.3">
      <c r="A20" s="267"/>
      <c r="B20" s="121" t="s">
        <v>47</v>
      </c>
      <c r="C20" s="122">
        <v>3</v>
      </c>
      <c r="D20" s="114" t="s">
        <v>205</v>
      </c>
      <c r="E20" s="115">
        <v>913.64</v>
      </c>
      <c r="F20" s="115">
        <v>776.59400000000005</v>
      </c>
      <c r="G20" s="115">
        <v>137.04599999999999</v>
      </c>
      <c r="H20" s="115">
        <v>0</v>
      </c>
      <c r="I20" s="115">
        <v>0</v>
      </c>
      <c r="J20" s="116">
        <v>0</v>
      </c>
      <c r="K20" s="293" t="s">
        <v>50</v>
      </c>
      <c r="L20" s="294"/>
      <c r="M20" s="126">
        <f>913640/1000</f>
        <v>913.64</v>
      </c>
    </row>
    <row r="21" spans="1:13" ht="15.75" thickBot="1" x14ac:dyDescent="0.3">
      <c r="A21" s="263" t="s">
        <v>0</v>
      </c>
      <c r="B21" s="264"/>
      <c r="C21" s="264"/>
      <c r="D21" s="264"/>
      <c r="E21" s="23">
        <f t="shared" ref="E21:J21" si="1">SUM(E6:E20)</f>
        <v>13047.873157894737</v>
      </c>
      <c r="F21" s="23">
        <f t="shared" si="1"/>
        <v>9291.8385000000017</v>
      </c>
      <c r="G21" s="23">
        <f t="shared" si="1"/>
        <v>927.56150000000002</v>
      </c>
      <c r="H21" s="23">
        <f t="shared" si="1"/>
        <v>251.68368421052631</v>
      </c>
      <c r="I21" s="23">
        <f t="shared" si="1"/>
        <v>2579.7894736842104</v>
      </c>
      <c r="J21" s="23">
        <f t="shared" si="1"/>
        <v>0</v>
      </c>
      <c r="K21"/>
      <c r="L21"/>
      <c r="M21" s="21">
        <f>F21+G21</f>
        <v>10219.400000000001</v>
      </c>
    </row>
    <row r="26" spans="1:13" ht="15.75" thickBot="1" x14ac:dyDescent="0.3">
      <c r="A26" s="283" t="s">
        <v>310</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5749.4631578947374</v>
      </c>
      <c r="F31" s="105">
        <f>F6+F7+F8+F9+F10+F11</f>
        <v>5461.99</v>
      </c>
      <c r="G31" s="105">
        <f>G6+G7+G8+G9+G10+G11</f>
        <v>0</v>
      </c>
      <c r="H31" s="105">
        <f>H6+H7+H8+H9+H10+H11</f>
        <v>251.68368421052631</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4688</v>
      </c>
      <c r="F32" s="110">
        <f>F12+F13+F14+F15</f>
        <v>1608</v>
      </c>
      <c r="G32" s="110">
        <f>G12+G13+G14+G15</f>
        <v>536</v>
      </c>
      <c r="H32" s="110">
        <f>H12+H13+H14+H15</f>
        <v>0</v>
      </c>
      <c r="I32" s="110">
        <f>I12+I13+I14+I15</f>
        <v>2544</v>
      </c>
      <c r="J32" s="111">
        <f>J12+J13+J14+J15</f>
        <v>0</v>
      </c>
      <c r="K32" s="44"/>
      <c r="L32" s="44"/>
      <c r="M32" s="54"/>
    </row>
    <row r="33" spans="1:13" ht="18" x14ac:dyDescent="0.25">
      <c r="A33" s="266"/>
      <c r="B33" s="160">
        <v>6</v>
      </c>
      <c r="C33" s="162" t="s">
        <v>202</v>
      </c>
      <c r="D33" s="163" t="s">
        <v>204</v>
      </c>
      <c r="E33" s="164">
        <f>F33+G33+H33+I33</f>
        <v>0</v>
      </c>
      <c r="F33" s="166">
        <f>F16</f>
        <v>0</v>
      </c>
      <c r="G33" s="166">
        <f>G16</f>
        <v>0</v>
      </c>
      <c r="H33" s="166">
        <f>H16</f>
        <v>0</v>
      </c>
      <c r="I33" s="166">
        <f>I16</f>
        <v>0</v>
      </c>
      <c r="J33" s="167">
        <f>J16</f>
        <v>0</v>
      </c>
      <c r="K33" s="44"/>
      <c r="L33" s="169"/>
      <c r="M33" s="54"/>
    </row>
    <row r="34" spans="1:13" ht="36.75" thickBot="1" x14ac:dyDescent="0.3">
      <c r="A34" s="159" t="s">
        <v>44</v>
      </c>
      <c r="B34" s="121" t="s">
        <v>47</v>
      </c>
      <c r="C34" s="161">
        <v>3</v>
      </c>
      <c r="D34" s="114" t="s">
        <v>205</v>
      </c>
      <c r="E34" s="165">
        <f>E20+E19+E18+E17</f>
        <v>2610.41</v>
      </c>
      <c r="F34" s="165">
        <f t="shared" ref="F34:G34" si="2">F20+F19+F18+F17</f>
        <v>2221.8485000000001</v>
      </c>
      <c r="G34" s="165">
        <f t="shared" si="2"/>
        <v>391.56150000000002</v>
      </c>
      <c r="H34" s="115">
        <f>H17+H18+H19+H20</f>
        <v>0</v>
      </c>
      <c r="I34" s="115">
        <f>I17+I18+I19+I20</f>
        <v>0</v>
      </c>
      <c r="J34" s="116">
        <f>J17+J18+J19+J20</f>
        <v>0</v>
      </c>
      <c r="K34" s="168"/>
      <c r="L34" s="169"/>
      <c r="M34" s="174"/>
    </row>
    <row r="35" spans="1:13" ht="15.75" thickBot="1" x14ac:dyDescent="0.3">
      <c r="A35" s="263" t="s">
        <v>0</v>
      </c>
      <c r="B35" s="264"/>
      <c r="C35" s="264"/>
      <c r="D35" s="264"/>
      <c r="E35" s="23">
        <f t="shared" ref="E35:J35" si="3">SUM(E31:E34)</f>
        <v>13047.873157894737</v>
      </c>
      <c r="F35" s="23">
        <f t="shared" si="3"/>
        <v>9291.8384999999998</v>
      </c>
      <c r="G35" s="23">
        <f t="shared" si="3"/>
        <v>927.56150000000002</v>
      </c>
      <c r="H35" s="23">
        <f t="shared" si="3"/>
        <v>251.68368421052631</v>
      </c>
      <c r="I35" s="23">
        <f t="shared" si="3"/>
        <v>2579.7894736842104</v>
      </c>
      <c r="J35" s="23">
        <f t="shared" si="3"/>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9" scale="94" orientation="landscape" r:id="rId1"/>
  <rowBreaks count="1" manualBreakCount="1">
    <brk id="1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5" zoomScale="120" zoomScaleNormal="120" zoomScaleSheetLayoutView="100" workbookViewId="0">
      <selection activeCell="E17" sqref="E17:J20"/>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0" style="1" bestFit="1" customWidth="1"/>
    <col min="14" max="16384" width="9.140625" style="1"/>
  </cols>
  <sheetData>
    <row r="1" spans="1:13" ht="15.75" thickBot="1" x14ac:dyDescent="0.3">
      <c r="A1" s="272" t="s">
        <v>270</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16" si="0">F8+G8+H8+I8</f>
        <v>1012.6226315789474</v>
      </c>
      <c r="F8" s="110">
        <f>0.85*M8+144.3</f>
        <v>961.99150000000009</v>
      </c>
      <c r="G8" s="110">
        <v>0</v>
      </c>
      <c r="H8" s="110">
        <f>((F8+G8)/95)*5</f>
        <v>50.631131578947375</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33.75" customHeight="1" thickBot="1" x14ac:dyDescent="0.3">
      <c r="A12" s="265" t="s">
        <v>27</v>
      </c>
      <c r="B12" s="102">
        <v>6</v>
      </c>
      <c r="C12" s="103" t="s">
        <v>202</v>
      </c>
      <c r="D12" s="104" t="s">
        <v>203</v>
      </c>
      <c r="E12" s="105">
        <f t="shared" si="0"/>
        <v>1376</v>
      </c>
      <c r="F12" s="105">
        <f>0.75*M12</f>
        <v>516</v>
      </c>
      <c r="G12" s="105">
        <f>0.25*M12</f>
        <v>172</v>
      </c>
      <c r="H12" s="105">
        <v>0</v>
      </c>
      <c r="I12" s="105">
        <f>344*2</f>
        <v>688</v>
      </c>
      <c r="J12" s="106">
        <v>0</v>
      </c>
      <c r="K12" s="128"/>
      <c r="L12" s="128"/>
      <c r="M12" s="127">
        <f>(344000/1000)*2</f>
        <v>688</v>
      </c>
    </row>
    <row r="13" spans="1:13" ht="31.5" customHeight="1" thickBot="1" x14ac:dyDescent="0.3">
      <c r="A13" s="266"/>
      <c r="B13" s="107">
        <v>6</v>
      </c>
      <c r="C13" s="108" t="s">
        <v>202</v>
      </c>
      <c r="D13" s="109" t="s">
        <v>203</v>
      </c>
      <c r="E13" s="110">
        <f t="shared" si="0"/>
        <v>0</v>
      </c>
      <c r="F13" s="110">
        <f>0.75*M13</f>
        <v>0</v>
      </c>
      <c r="G13" s="110">
        <f>0.25*M13</f>
        <v>0</v>
      </c>
      <c r="H13" s="110">
        <v>0</v>
      </c>
      <c r="I13" s="110">
        <f>((F13+G13)/(100-N13))*N13</f>
        <v>0</v>
      </c>
      <c r="J13" s="111">
        <v>0</v>
      </c>
      <c r="K13" s="44"/>
      <c r="L13" s="44"/>
      <c r="M13" s="45">
        <v>0</v>
      </c>
    </row>
    <row r="14" spans="1:13" ht="63.75" customHeight="1" thickBot="1" x14ac:dyDescent="0.3">
      <c r="A14" s="266"/>
      <c r="B14" s="107">
        <v>6</v>
      </c>
      <c r="C14" s="108" t="s">
        <v>202</v>
      </c>
      <c r="D14" s="109" t="s">
        <v>203</v>
      </c>
      <c r="E14" s="110">
        <f t="shared" si="0"/>
        <v>8000</v>
      </c>
      <c r="F14" s="110">
        <f>0.75*M14</f>
        <v>2700</v>
      </c>
      <c r="G14" s="110">
        <f>0.25*M14</f>
        <v>900</v>
      </c>
      <c r="H14" s="110">
        <v>0</v>
      </c>
      <c r="I14" s="110">
        <f>2200*2</f>
        <v>4400</v>
      </c>
      <c r="J14" s="111">
        <v>0</v>
      </c>
      <c r="K14" s="123"/>
      <c r="L14" s="123"/>
      <c r="M14" s="124">
        <f>(1800000/1000)*2</f>
        <v>3600</v>
      </c>
    </row>
    <row r="15" spans="1:13" ht="81.75" customHeight="1" thickBot="1" x14ac:dyDescent="0.3">
      <c r="A15" s="266"/>
      <c r="B15" s="107">
        <v>6</v>
      </c>
      <c r="C15" s="108" t="s">
        <v>202</v>
      </c>
      <c r="D15" s="109" t="s">
        <v>203</v>
      </c>
      <c r="E15" s="110">
        <f t="shared" si="0"/>
        <v>0</v>
      </c>
      <c r="F15" s="110">
        <f>0.75*M15</f>
        <v>0</v>
      </c>
      <c r="G15" s="110">
        <f>0.25*M15</f>
        <v>0</v>
      </c>
      <c r="H15" s="110">
        <v>0</v>
      </c>
      <c r="I15" s="110">
        <f>((F15+G15)/(100-N15))*N15</f>
        <v>0</v>
      </c>
      <c r="J15" s="111">
        <v>0</v>
      </c>
      <c r="K15" s="123"/>
      <c r="L15" s="123"/>
      <c r="M15" s="124">
        <v>0</v>
      </c>
    </row>
    <row r="16" spans="1:13" ht="54.75" customHeight="1" thickBot="1" x14ac:dyDescent="0.3">
      <c r="A16" s="267"/>
      <c r="B16" s="112">
        <v>6</v>
      </c>
      <c r="C16" s="113" t="s">
        <v>202</v>
      </c>
      <c r="D16" s="114" t="s">
        <v>204</v>
      </c>
      <c r="E16" s="115">
        <f t="shared" si="0"/>
        <v>394.99</v>
      </c>
      <c r="F16" s="115">
        <f>ROUND(0.75*M16,2)</f>
        <v>236.99</v>
      </c>
      <c r="G16" s="115">
        <f>ROUND(0.25*M16,2)</f>
        <v>79</v>
      </c>
      <c r="H16" s="115">
        <v>0</v>
      </c>
      <c r="I16" s="115">
        <v>79</v>
      </c>
      <c r="J16" s="116">
        <v>0</v>
      </c>
      <c r="K16" s="125"/>
      <c r="L16" s="125"/>
      <c r="M16" s="126">
        <v>315.98</v>
      </c>
    </row>
    <row r="17" spans="1:13" ht="63.75" customHeight="1" thickBot="1" x14ac:dyDescent="0.3">
      <c r="A17" s="265" t="s">
        <v>44</v>
      </c>
      <c r="B17" s="117">
        <v>2</v>
      </c>
      <c r="C17" s="118">
        <v>3</v>
      </c>
      <c r="D17" s="104" t="s">
        <v>205</v>
      </c>
      <c r="E17" s="105">
        <v>522.08000000000004</v>
      </c>
      <c r="F17" s="105">
        <v>443.76799999999997</v>
      </c>
      <c r="G17" s="105">
        <v>78.311999999999998</v>
      </c>
      <c r="H17" s="105">
        <v>0</v>
      </c>
      <c r="I17" s="105">
        <v>0</v>
      </c>
      <c r="J17" s="106">
        <v>0</v>
      </c>
      <c r="K17" s="287" t="s">
        <v>45</v>
      </c>
      <c r="L17" s="288"/>
      <c r="M17" s="127">
        <f>522080/1000</f>
        <v>522.08000000000004</v>
      </c>
    </row>
    <row r="18" spans="1:13" ht="54.75" customHeight="1" thickBot="1" x14ac:dyDescent="0.3">
      <c r="A18" s="266"/>
      <c r="B18" s="119">
        <v>2</v>
      </c>
      <c r="C18" s="120">
        <v>3</v>
      </c>
      <c r="D18" s="109" t="s">
        <v>205</v>
      </c>
      <c r="E18" s="110">
        <v>130.52000000000001</v>
      </c>
      <c r="F18" s="110">
        <v>110.94199999999999</v>
      </c>
      <c r="G18" s="110">
        <v>19.577999999999999</v>
      </c>
      <c r="H18" s="110">
        <v>0</v>
      </c>
      <c r="I18" s="110">
        <f>((F18+G18)/(100-N18))*N18</f>
        <v>0</v>
      </c>
      <c r="J18" s="111">
        <v>0</v>
      </c>
      <c r="K18" s="285" t="s">
        <v>199</v>
      </c>
      <c r="L18" s="286"/>
      <c r="M18" s="124">
        <f>130520/1000</f>
        <v>130.52000000000001</v>
      </c>
    </row>
    <row r="19" spans="1:13" ht="45.75" customHeight="1" thickBot="1" x14ac:dyDescent="0.3">
      <c r="A19" s="266"/>
      <c r="B19" s="119" t="s">
        <v>47</v>
      </c>
      <c r="C19" s="120">
        <v>3</v>
      </c>
      <c r="D19" s="109" t="s">
        <v>205</v>
      </c>
      <c r="E19" s="110">
        <v>195.68</v>
      </c>
      <c r="F19" s="110">
        <v>166.328</v>
      </c>
      <c r="G19" s="110">
        <v>29.352</v>
      </c>
      <c r="H19" s="110">
        <v>0</v>
      </c>
      <c r="I19" s="110">
        <v>0</v>
      </c>
      <c r="J19" s="111">
        <v>0</v>
      </c>
      <c r="K19" s="285" t="s">
        <v>49</v>
      </c>
      <c r="L19" s="286"/>
      <c r="M19" s="124">
        <v>195.68</v>
      </c>
    </row>
    <row r="20" spans="1:13" ht="63.75" customHeight="1" thickBot="1" x14ac:dyDescent="0.3">
      <c r="A20" s="267"/>
      <c r="B20" s="121" t="s">
        <v>47</v>
      </c>
      <c r="C20" s="122">
        <v>3</v>
      </c>
      <c r="D20" s="114" t="s">
        <v>205</v>
      </c>
      <c r="E20" s="115">
        <v>456.83</v>
      </c>
      <c r="F20" s="115">
        <v>388.30549999999999</v>
      </c>
      <c r="G20" s="115">
        <v>68.524500000000003</v>
      </c>
      <c r="H20" s="115">
        <v>0</v>
      </c>
      <c r="I20" s="115">
        <f>ROUND(0.15*M20,2)</f>
        <v>68.52</v>
      </c>
      <c r="J20" s="116">
        <v>0</v>
      </c>
      <c r="K20" s="293" t="s">
        <v>50</v>
      </c>
      <c r="L20" s="294"/>
      <c r="M20" s="126">
        <f>456830/1000</f>
        <v>456.83</v>
      </c>
    </row>
    <row r="21" spans="1:13" ht="15.75" thickBot="1" x14ac:dyDescent="0.3">
      <c r="A21" s="263" t="s">
        <v>0</v>
      </c>
      <c r="B21" s="264"/>
      <c r="C21" s="264"/>
      <c r="D21" s="264"/>
      <c r="E21" s="23">
        <f t="shared" ref="E21:J21" si="1">SUM(E6:E20)</f>
        <v>16825.564736842109</v>
      </c>
      <c r="F21" s="23">
        <f t="shared" si="1"/>
        <v>10024.324999999999</v>
      </c>
      <c r="G21" s="23">
        <f t="shared" si="1"/>
        <v>1346.7665</v>
      </c>
      <c r="H21" s="23">
        <f t="shared" si="1"/>
        <v>251.68376315789473</v>
      </c>
      <c r="I21" s="23">
        <f t="shared" si="1"/>
        <v>5271.3094736842113</v>
      </c>
      <c r="J21" s="23">
        <f t="shared" si="1"/>
        <v>0</v>
      </c>
      <c r="K21"/>
      <c r="L21"/>
      <c r="M21" s="21">
        <f>F21+G21</f>
        <v>11371.091499999999</v>
      </c>
    </row>
    <row r="26" spans="1:13" ht="15.75" thickBot="1" x14ac:dyDescent="0.3">
      <c r="A26" s="283" t="s">
        <v>309</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5749.4647368421056</v>
      </c>
      <c r="F31" s="105">
        <f>F6+F7+F8+F9+F10+F11</f>
        <v>5461.9915000000001</v>
      </c>
      <c r="G31" s="105">
        <f>G6+G7+G8+G9+G10+G11</f>
        <v>0</v>
      </c>
      <c r="H31" s="105">
        <f>H6+H7+H8+H9+H10+H11</f>
        <v>251.68376315789473</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9376</v>
      </c>
      <c r="F32" s="110">
        <f>F12+F13+F14+F15</f>
        <v>3216</v>
      </c>
      <c r="G32" s="110">
        <f>G12+G13+G14+G15</f>
        <v>1072</v>
      </c>
      <c r="H32" s="110">
        <f>H12+H13+H14+H15</f>
        <v>0</v>
      </c>
      <c r="I32" s="110">
        <f>I12+I13+I14+I15</f>
        <v>5088</v>
      </c>
      <c r="J32" s="111">
        <f>J12+J13+J14+J15</f>
        <v>0</v>
      </c>
      <c r="K32" s="44"/>
      <c r="L32" s="44"/>
      <c r="M32" s="54"/>
    </row>
    <row r="33" spans="1:13" ht="18" x14ac:dyDescent="0.25">
      <c r="A33" s="266"/>
      <c r="B33" s="160">
        <v>6</v>
      </c>
      <c r="C33" s="162" t="s">
        <v>202</v>
      </c>
      <c r="D33" s="163" t="s">
        <v>204</v>
      </c>
      <c r="E33" s="164">
        <f>F33+G33+H33+I33</f>
        <v>394.99</v>
      </c>
      <c r="F33" s="166">
        <f>F16</f>
        <v>236.99</v>
      </c>
      <c r="G33" s="166">
        <f>G16</f>
        <v>79</v>
      </c>
      <c r="H33" s="166">
        <f>H16</f>
        <v>0</v>
      </c>
      <c r="I33" s="166">
        <f>I16</f>
        <v>79</v>
      </c>
      <c r="J33" s="167">
        <f>J16</f>
        <v>0</v>
      </c>
      <c r="K33" s="44"/>
      <c r="L33" s="169"/>
      <c r="M33" s="54"/>
    </row>
    <row r="34" spans="1:13" ht="36.75" thickBot="1" x14ac:dyDescent="0.3">
      <c r="A34" s="159" t="s">
        <v>44</v>
      </c>
      <c r="B34" s="121" t="s">
        <v>47</v>
      </c>
      <c r="C34" s="161">
        <v>3</v>
      </c>
      <c r="D34" s="114" t="s">
        <v>205</v>
      </c>
      <c r="E34" s="165">
        <f>E20+E19+E18+E17</f>
        <v>1305.1100000000001</v>
      </c>
      <c r="F34" s="165">
        <f t="shared" ref="F34:G34" si="2">F20+F19+F18+F17</f>
        <v>1109.3434999999999</v>
      </c>
      <c r="G34" s="165">
        <f t="shared" si="2"/>
        <v>195.76650000000001</v>
      </c>
      <c r="H34" s="115">
        <f>H17+H18+H19+H20</f>
        <v>0</v>
      </c>
      <c r="I34" s="115">
        <v>0</v>
      </c>
      <c r="J34" s="116">
        <f>J17+J18+J19+J20</f>
        <v>0</v>
      </c>
      <c r="K34" s="168"/>
      <c r="L34" s="169"/>
      <c r="M34" s="174"/>
    </row>
    <row r="35" spans="1:13" ht="15.75" thickBot="1" x14ac:dyDescent="0.3">
      <c r="A35" s="263" t="s">
        <v>0</v>
      </c>
      <c r="B35" s="264"/>
      <c r="C35" s="264"/>
      <c r="D35" s="264"/>
      <c r="E35" s="23">
        <f t="shared" ref="E35:J35" si="3">SUM(E31:E34)</f>
        <v>16825.564736842105</v>
      </c>
      <c r="F35" s="23">
        <f t="shared" si="3"/>
        <v>10024.325000000001</v>
      </c>
      <c r="G35" s="23">
        <f t="shared" si="3"/>
        <v>1346.7665</v>
      </c>
      <c r="H35" s="23">
        <f t="shared" si="3"/>
        <v>251.68376315789473</v>
      </c>
      <c r="I35" s="23">
        <f t="shared" si="3"/>
        <v>5202.7894736842109</v>
      </c>
      <c r="J35" s="23">
        <f t="shared" si="3"/>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8" scale="95" orientation="landscape" r:id="rId1"/>
  <rowBreaks count="1" manualBreakCount="1">
    <brk id="1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3" zoomScale="90" zoomScaleNormal="90" zoomScaleSheetLayoutView="100" workbookViewId="0">
      <selection activeCell="J56" sqref="J56"/>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0" style="1" bestFit="1" customWidth="1"/>
    <col min="14" max="16384" width="9.140625" style="1"/>
  </cols>
  <sheetData>
    <row r="1" spans="1:13" ht="15.75" thickBot="1" x14ac:dyDescent="0.3">
      <c r="A1" s="272" t="s">
        <v>271</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20" si="0">F8+G8+H8+I8</f>
        <v>1012.6226315789474</v>
      </c>
      <c r="F8" s="110">
        <f>0.85*M8+144.3</f>
        <v>961.99150000000009</v>
      </c>
      <c r="G8" s="110">
        <v>0</v>
      </c>
      <c r="H8" s="110">
        <f>((F8+G8)/95)*5</f>
        <v>50.631131578947375</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40.5" customHeight="1" thickBot="1" x14ac:dyDescent="0.3">
      <c r="A12" s="265" t="s">
        <v>27</v>
      </c>
      <c r="B12" s="102">
        <v>6</v>
      </c>
      <c r="C12" s="103" t="s">
        <v>202</v>
      </c>
      <c r="D12" s="104" t="s">
        <v>203</v>
      </c>
      <c r="E12" s="105">
        <v>0</v>
      </c>
      <c r="F12" s="105">
        <f t="shared" ref="F12:F20" si="1">0.75*M12</f>
        <v>0</v>
      </c>
      <c r="G12" s="105">
        <f t="shared" ref="G12:G20" si="2">0.25*M12</f>
        <v>0</v>
      </c>
      <c r="H12" s="105">
        <v>0</v>
      </c>
      <c r="I12" s="105">
        <v>0</v>
      </c>
      <c r="J12" s="106">
        <v>0</v>
      </c>
      <c r="K12" s="128"/>
      <c r="L12" s="128"/>
      <c r="M12" s="127">
        <v>0</v>
      </c>
    </row>
    <row r="13" spans="1:13" ht="35.25" customHeight="1" thickBot="1" x14ac:dyDescent="0.3">
      <c r="A13" s="266"/>
      <c r="B13" s="107">
        <v>6</v>
      </c>
      <c r="C13" s="108" t="s">
        <v>202</v>
      </c>
      <c r="D13" s="109" t="s">
        <v>203</v>
      </c>
      <c r="E13" s="110">
        <f t="shared" si="0"/>
        <v>0</v>
      </c>
      <c r="F13" s="110">
        <f t="shared" si="1"/>
        <v>0</v>
      </c>
      <c r="G13" s="110">
        <f t="shared" si="2"/>
        <v>0</v>
      </c>
      <c r="H13" s="110">
        <v>0</v>
      </c>
      <c r="I13" s="110">
        <f>((F13+G13)/(100-N13))*N13</f>
        <v>0</v>
      </c>
      <c r="J13" s="111">
        <v>0</v>
      </c>
      <c r="K13" s="123"/>
      <c r="L13" s="123"/>
      <c r="M13" s="124">
        <v>0</v>
      </c>
    </row>
    <row r="14" spans="1:13" ht="63.75" customHeight="1" thickBot="1" x14ac:dyDescent="0.3">
      <c r="A14" s="266"/>
      <c r="B14" s="107">
        <v>6</v>
      </c>
      <c r="C14" s="108" t="s">
        <v>202</v>
      </c>
      <c r="D14" s="109" t="s">
        <v>203</v>
      </c>
      <c r="E14" s="110">
        <v>0</v>
      </c>
      <c r="F14" s="110">
        <f t="shared" si="1"/>
        <v>0</v>
      </c>
      <c r="G14" s="110">
        <f t="shared" si="2"/>
        <v>0</v>
      </c>
      <c r="H14" s="110">
        <v>0</v>
      </c>
      <c r="I14" s="110">
        <v>0</v>
      </c>
      <c r="J14" s="111">
        <v>0</v>
      </c>
      <c r="K14" s="123"/>
      <c r="L14" s="123"/>
      <c r="M14" s="124">
        <v>0</v>
      </c>
    </row>
    <row r="15" spans="1:13" ht="81.75" customHeight="1" thickBot="1" x14ac:dyDescent="0.3">
      <c r="A15" s="266"/>
      <c r="B15" s="107">
        <v>6</v>
      </c>
      <c r="C15" s="108" t="s">
        <v>202</v>
      </c>
      <c r="D15" s="109" t="s">
        <v>203</v>
      </c>
      <c r="E15" s="110">
        <f t="shared" si="0"/>
        <v>0</v>
      </c>
      <c r="F15" s="110">
        <f t="shared" si="1"/>
        <v>0</v>
      </c>
      <c r="G15" s="110">
        <f t="shared" si="2"/>
        <v>0</v>
      </c>
      <c r="H15" s="110">
        <v>0</v>
      </c>
      <c r="I15" s="110">
        <f t="shared" ref="I15:I20" si="3">((F15+G15)/(100-N15))*N15</f>
        <v>0</v>
      </c>
      <c r="J15" s="111">
        <v>0</v>
      </c>
      <c r="K15" s="44"/>
      <c r="L15" s="44"/>
      <c r="M15" s="45">
        <v>0</v>
      </c>
    </row>
    <row r="16" spans="1:13" ht="54.75" customHeight="1" thickBot="1" x14ac:dyDescent="0.3">
      <c r="A16" s="267"/>
      <c r="B16" s="112">
        <v>6</v>
      </c>
      <c r="C16" s="113" t="s">
        <v>202</v>
      </c>
      <c r="D16" s="114" t="s">
        <v>204</v>
      </c>
      <c r="E16" s="115">
        <f t="shared" si="0"/>
        <v>0</v>
      </c>
      <c r="F16" s="115">
        <f t="shared" si="1"/>
        <v>0</v>
      </c>
      <c r="G16" s="115">
        <f t="shared" si="2"/>
        <v>0</v>
      </c>
      <c r="H16" s="115">
        <v>0</v>
      </c>
      <c r="I16" s="115">
        <f t="shared" si="3"/>
        <v>0</v>
      </c>
      <c r="J16" s="116">
        <v>0</v>
      </c>
      <c r="K16" s="46"/>
      <c r="L16" s="46"/>
      <c r="M16" s="47">
        <v>0</v>
      </c>
    </row>
    <row r="17" spans="1:13" ht="63.75" customHeight="1" thickBot="1" x14ac:dyDescent="0.3">
      <c r="A17" s="265" t="s">
        <v>44</v>
      </c>
      <c r="B17" s="117">
        <v>2</v>
      </c>
      <c r="C17" s="118">
        <v>3</v>
      </c>
      <c r="D17" s="104" t="s">
        <v>205</v>
      </c>
      <c r="E17" s="105">
        <f t="shared" si="0"/>
        <v>0</v>
      </c>
      <c r="F17" s="105">
        <f t="shared" si="1"/>
        <v>0</v>
      </c>
      <c r="G17" s="105">
        <f t="shared" si="2"/>
        <v>0</v>
      </c>
      <c r="H17" s="105">
        <v>0</v>
      </c>
      <c r="I17" s="105">
        <f t="shared" si="3"/>
        <v>0</v>
      </c>
      <c r="J17" s="106">
        <v>0</v>
      </c>
      <c r="K17" s="291" t="s">
        <v>45</v>
      </c>
      <c r="L17" s="292"/>
      <c r="M17" s="43">
        <v>0</v>
      </c>
    </row>
    <row r="18" spans="1:13" ht="54.75" customHeight="1" thickBot="1" x14ac:dyDescent="0.3">
      <c r="A18" s="266"/>
      <c r="B18" s="119">
        <v>2</v>
      </c>
      <c r="C18" s="120">
        <v>3</v>
      </c>
      <c r="D18" s="109" t="s">
        <v>205</v>
      </c>
      <c r="E18" s="110">
        <f t="shared" si="0"/>
        <v>0</v>
      </c>
      <c r="F18" s="110">
        <f t="shared" si="1"/>
        <v>0</v>
      </c>
      <c r="G18" s="110">
        <f t="shared" si="2"/>
        <v>0</v>
      </c>
      <c r="H18" s="110">
        <v>0</v>
      </c>
      <c r="I18" s="110">
        <f t="shared" si="3"/>
        <v>0</v>
      </c>
      <c r="J18" s="111">
        <v>0</v>
      </c>
      <c r="K18" s="261" t="s">
        <v>199</v>
      </c>
      <c r="L18" s="262"/>
      <c r="M18" s="45">
        <v>0</v>
      </c>
    </row>
    <row r="19" spans="1:13" ht="45.75" customHeight="1" thickBot="1" x14ac:dyDescent="0.3">
      <c r="A19" s="266"/>
      <c r="B19" s="119" t="s">
        <v>47</v>
      </c>
      <c r="C19" s="120">
        <v>3</v>
      </c>
      <c r="D19" s="109" t="s">
        <v>205</v>
      </c>
      <c r="E19" s="110">
        <f t="shared" si="0"/>
        <v>0</v>
      </c>
      <c r="F19" s="110">
        <f t="shared" si="1"/>
        <v>0</v>
      </c>
      <c r="G19" s="110">
        <f t="shared" si="2"/>
        <v>0</v>
      </c>
      <c r="H19" s="110">
        <v>0</v>
      </c>
      <c r="I19" s="110">
        <f t="shared" si="3"/>
        <v>0</v>
      </c>
      <c r="J19" s="111">
        <v>0</v>
      </c>
      <c r="K19" s="261" t="s">
        <v>49</v>
      </c>
      <c r="L19" s="262"/>
      <c r="M19" s="45">
        <v>0</v>
      </c>
    </row>
    <row r="20" spans="1:13" ht="63.75" customHeight="1" thickBot="1" x14ac:dyDescent="0.3">
      <c r="A20" s="267"/>
      <c r="B20" s="121" t="s">
        <v>47</v>
      </c>
      <c r="C20" s="122">
        <v>3</v>
      </c>
      <c r="D20" s="114" t="s">
        <v>205</v>
      </c>
      <c r="E20" s="115">
        <f t="shared" si="0"/>
        <v>0</v>
      </c>
      <c r="F20" s="115">
        <f t="shared" si="1"/>
        <v>0</v>
      </c>
      <c r="G20" s="115">
        <f t="shared" si="2"/>
        <v>0</v>
      </c>
      <c r="H20" s="115">
        <v>0</v>
      </c>
      <c r="I20" s="115">
        <f t="shared" si="3"/>
        <v>0</v>
      </c>
      <c r="J20" s="116">
        <v>0</v>
      </c>
      <c r="K20" s="295" t="s">
        <v>50</v>
      </c>
      <c r="L20" s="296"/>
      <c r="M20" s="47">
        <v>0</v>
      </c>
    </row>
    <row r="21" spans="1:13" ht="15.75" thickBot="1" x14ac:dyDescent="0.3">
      <c r="A21" s="263" t="s">
        <v>0</v>
      </c>
      <c r="B21" s="264"/>
      <c r="C21" s="264"/>
      <c r="D21" s="264"/>
      <c r="E21" s="23">
        <f t="shared" ref="E21:J21" si="4">SUM(E6:E20)</f>
        <v>5749.4647368421056</v>
      </c>
      <c r="F21" s="23">
        <f t="shared" si="4"/>
        <v>5461.9915000000001</v>
      </c>
      <c r="G21" s="23">
        <f t="shared" si="4"/>
        <v>0</v>
      </c>
      <c r="H21" s="23">
        <f t="shared" si="4"/>
        <v>251.68376315789473</v>
      </c>
      <c r="I21" s="23">
        <f t="shared" si="4"/>
        <v>35.789473684210527</v>
      </c>
      <c r="J21" s="23">
        <f t="shared" si="4"/>
        <v>0</v>
      </c>
      <c r="K21"/>
      <c r="L21"/>
      <c r="M21" s="21">
        <f>F21+G21</f>
        <v>5461.9915000000001</v>
      </c>
    </row>
    <row r="26" spans="1:13" ht="15.75" thickBot="1" x14ac:dyDescent="0.3">
      <c r="A26" s="283" t="s">
        <v>308</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5749.4647368421056</v>
      </c>
      <c r="F31" s="105">
        <f>F6+F7+F8+F9+F10+F11</f>
        <v>5461.9915000000001</v>
      </c>
      <c r="G31" s="105">
        <f>G6+G7+G8+G9+G10+G11</f>
        <v>0</v>
      </c>
      <c r="H31" s="105">
        <f>H6+H7+H8+H9+H10+H11</f>
        <v>251.68376315789473</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0</v>
      </c>
      <c r="F32" s="110">
        <f>F12+F13+F14+F15</f>
        <v>0</v>
      </c>
      <c r="G32" s="110">
        <f>G12+G13+G14+G15</f>
        <v>0</v>
      </c>
      <c r="H32" s="110">
        <f>H12+H13+H14+H15</f>
        <v>0</v>
      </c>
      <c r="I32" s="110">
        <f>I12+I13+I14+I15</f>
        <v>0</v>
      </c>
      <c r="J32" s="111">
        <f>J12+J13+J14+J15</f>
        <v>0</v>
      </c>
      <c r="K32" s="44"/>
      <c r="L32" s="44"/>
      <c r="M32" s="54"/>
    </row>
    <row r="33" spans="1:13" ht="18" x14ac:dyDescent="0.25">
      <c r="A33" s="266"/>
      <c r="B33" s="160">
        <v>6</v>
      </c>
      <c r="C33" s="162" t="s">
        <v>202</v>
      </c>
      <c r="D33" s="163" t="s">
        <v>204</v>
      </c>
      <c r="E33" s="164">
        <f>F33+G33+H33+I33</f>
        <v>0</v>
      </c>
      <c r="F33" s="166">
        <f>F16</f>
        <v>0</v>
      </c>
      <c r="G33" s="166">
        <f>G16</f>
        <v>0</v>
      </c>
      <c r="H33" s="166">
        <f>H16</f>
        <v>0</v>
      </c>
      <c r="I33" s="166">
        <f>I16</f>
        <v>0</v>
      </c>
      <c r="J33" s="167">
        <f>J16</f>
        <v>0</v>
      </c>
      <c r="K33" s="44"/>
      <c r="L33" s="169"/>
      <c r="M33" s="54"/>
    </row>
    <row r="34" spans="1:13" ht="36.75" thickBot="1" x14ac:dyDescent="0.3">
      <c r="A34" s="159" t="s">
        <v>44</v>
      </c>
      <c r="B34" s="121" t="s">
        <v>47</v>
      </c>
      <c r="C34" s="161">
        <v>3</v>
      </c>
      <c r="D34" s="114" t="s">
        <v>205</v>
      </c>
      <c r="E34" s="165">
        <f>F34+G34+H34+I34</f>
        <v>0</v>
      </c>
      <c r="F34" s="115">
        <f>F17+F18+F19+F20</f>
        <v>0</v>
      </c>
      <c r="G34" s="115">
        <f>G17+G18+G19+G20</f>
        <v>0</v>
      </c>
      <c r="H34" s="115">
        <f>H17+H18+H19+H20</f>
        <v>0</v>
      </c>
      <c r="I34" s="115">
        <f>I17+I18+I19+I20</f>
        <v>0</v>
      </c>
      <c r="J34" s="116">
        <f>J17+J18+J19+J20</f>
        <v>0</v>
      </c>
      <c r="K34" s="168"/>
      <c r="L34" s="169"/>
      <c r="M34" s="174"/>
    </row>
    <row r="35" spans="1:13" ht="15.75" thickBot="1" x14ac:dyDescent="0.3">
      <c r="A35" s="263" t="s">
        <v>0</v>
      </c>
      <c r="B35" s="264"/>
      <c r="C35" s="264"/>
      <c r="D35" s="264"/>
      <c r="E35" s="23">
        <f t="shared" ref="E35:J35" si="5">SUM(E31:E34)</f>
        <v>5749.4647368421056</v>
      </c>
      <c r="F35" s="23">
        <f t="shared" si="5"/>
        <v>5461.9915000000001</v>
      </c>
      <c r="G35" s="23">
        <f t="shared" si="5"/>
        <v>0</v>
      </c>
      <c r="H35" s="23">
        <f t="shared" si="5"/>
        <v>251.68376315789473</v>
      </c>
      <c r="I35" s="23">
        <f t="shared" si="5"/>
        <v>35.789473684210527</v>
      </c>
      <c r="J35" s="23">
        <f t="shared" si="5"/>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8" scale="95" orientation="landscape" r:id="rId1"/>
  <rowBreaks count="1" manualBreakCount="1">
    <brk id="1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31" zoomScale="120" zoomScaleNormal="120" zoomScaleSheetLayoutView="100" zoomScalePageLayoutView="90" workbookViewId="0">
      <selection activeCell="R45" sqref="R45"/>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1.42578125" style="1" bestFit="1" customWidth="1"/>
    <col min="14" max="15" width="9.140625" style="1"/>
    <col min="16" max="16" width="12.28515625" style="1" customWidth="1"/>
    <col min="17" max="17" width="12.140625" style="1" customWidth="1"/>
    <col min="18" max="18" width="12.7109375" style="1" customWidth="1"/>
    <col min="19" max="16384" width="9.140625" style="1"/>
  </cols>
  <sheetData>
    <row r="1" spans="1:18" ht="15.75" thickBot="1" x14ac:dyDescent="0.3">
      <c r="L1" s="308" t="s">
        <v>14</v>
      </c>
      <c r="M1" s="308"/>
      <c r="N1" s="308"/>
      <c r="O1" s="308"/>
      <c r="P1" s="308"/>
      <c r="Q1" s="308"/>
      <c r="R1" s="308"/>
    </row>
    <row r="2" spans="1:18" ht="36.75" thickBot="1" x14ac:dyDescent="0.3">
      <c r="B2" s="299" t="s">
        <v>263</v>
      </c>
      <c r="C2" s="299"/>
      <c r="D2" s="299"/>
      <c r="E2" s="299"/>
      <c r="F2" s="299"/>
      <c r="G2" s="299"/>
      <c r="H2" s="299"/>
      <c r="I2" s="299"/>
      <c r="J2" s="299"/>
      <c r="K2" s="299"/>
      <c r="L2" s="299"/>
      <c r="N2" s="6" t="s">
        <v>15</v>
      </c>
      <c r="O2" s="7" t="s">
        <v>16</v>
      </c>
      <c r="P2" s="7" t="s">
        <v>17</v>
      </c>
      <c r="Q2" s="7" t="s">
        <v>18</v>
      </c>
      <c r="R2" s="7" t="s">
        <v>19</v>
      </c>
    </row>
    <row r="3" spans="1:18" ht="16.5" thickTop="1" thickBot="1" x14ac:dyDescent="0.3">
      <c r="B3" s="300" t="s">
        <v>272</v>
      </c>
      <c r="C3" s="300"/>
      <c r="D3" s="300"/>
      <c r="E3" s="300"/>
      <c r="F3" s="300"/>
      <c r="G3" s="300"/>
      <c r="H3" s="300"/>
      <c r="I3" s="300"/>
      <c r="J3" s="300"/>
      <c r="K3" s="300"/>
      <c r="L3" s="300"/>
      <c r="N3" s="303" t="s">
        <v>20</v>
      </c>
      <c r="O3" s="8" t="s">
        <v>21</v>
      </c>
      <c r="P3" s="30">
        <f>F16+F17+F18+F19+F20+F21</f>
        <v>38809.949999999997</v>
      </c>
      <c r="Q3" s="30">
        <f>G16+G17+G18+G19+G20+G21</f>
        <v>0</v>
      </c>
      <c r="R3" s="31">
        <f>P3+Q3</f>
        <v>38809.949999999997</v>
      </c>
    </row>
    <row r="4" spans="1:18" ht="15.75" thickBot="1" x14ac:dyDescent="0.3">
      <c r="N4" s="304"/>
      <c r="O4" s="10" t="s">
        <v>22</v>
      </c>
      <c r="P4" s="9"/>
      <c r="Q4" s="9"/>
      <c r="R4" s="11"/>
    </row>
    <row r="5" spans="1:18" ht="26.25" customHeight="1" thickBot="1" x14ac:dyDescent="0.3">
      <c r="N5" s="305"/>
      <c r="O5" s="12" t="s">
        <v>23</v>
      </c>
      <c r="P5" s="35">
        <f>P3+P4</f>
        <v>38809.949999999997</v>
      </c>
      <c r="Q5" s="35">
        <f>Q3+Q4</f>
        <v>0</v>
      </c>
      <c r="R5" s="36">
        <f>R3+R4</f>
        <v>38809.949999999997</v>
      </c>
    </row>
    <row r="6" spans="1:18" ht="15.75" thickBot="1" x14ac:dyDescent="0.3">
      <c r="N6" s="39" t="s">
        <v>24</v>
      </c>
      <c r="O6" s="10" t="s">
        <v>25</v>
      </c>
      <c r="P6" s="30">
        <f>F27+F28+F29+F30</f>
        <v>11094.183000000001</v>
      </c>
      <c r="Q6" s="30">
        <f>G27+G28+G29+G30</f>
        <v>1957.7969999999998</v>
      </c>
      <c r="R6" s="32">
        <f>P6+Q6</f>
        <v>13051.980000000001</v>
      </c>
    </row>
    <row r="7" spans="1:18" ht="15.75" thickBot="1" x14ac:dyDescent="0.3">
      <c r="N7" s="306" t="s">
        <v>26</v>
      </c>
      <c r="O7" s="13" t="s">
        <v>27</v>
      </c>
      <c r="P7" s="33">
        <f>F22+F23+F24+F25+F26</f>
        <v>20838.759999999998</v>
      </c>
      <c r="Q7" s="33">
        <f>G22+G23+G24+G25+G26</f>
        <v>6946.26</v>
      </c>
      <c r="R7" s="34">
        <f>P7+Q7</f>
        <v>27785.019999999997</v>
      </c>
    </row>
    <row r="8" spans="1:18" ht="24.75" thickBot="1" x14ac:dyDescent="0.3">
      <c r="N8" s="307"/>
      <c r="O8" s="129" t="s">
        <v>28</v>
      </c>
      <c r="P8" s="130">
        <f>P7</f>
        <v>20838.759999999998</v>
      </c>
      <c r="Q8" s="130">
        <f>Q7</f>
        <v>6946.26</v>
      </c>
      <c r="R8" s="131">
        <f>R7</f>
        <v>27785.019999999997</v>
      </c>
    </row>
    <row r="9" spans="1:18" ht="16.5" thickTop="1" thickBot="1" x14ac:dyDescent="0.3">
      <c r="N9" s="14" t="s">
        <v>29</v>
      </c>
      <c r="O9" s="15" t="s">
        <v>0</v>
      </c>
      <c r="P9" s="37">
        <f>P5+P8+P6</f>
        <v>70742.892999999996</v>
      </c>
      <c r="Q9" s="37">
        <f>Q5+Q8+Q6</f>
        <v>8904.0570000000007</v>
      </c>
      <c r="R9" s="38">
        <f>R5+R8+R6</f>
        <v>79646.95</v>
      </c>
    </row>
    <row r="10" spans="1:18" ht="15.75" thickBot="1" x14ac:dyDescent="0.3"/>
    <row r="11" spans="1:18" ht="15.75" thickBot="1" x14ac:dyDescent="0.3">
      <c r="A11" s="301" t="s">
        <v>182</v>
      </c>
      <c r="B11" s="302"/>
      <c r="C11" s="302"/>
      <c r="D11" s="302"/>
      <c r="E11" s="302"/>
      <c r="F11" s="302"/>
      <c r="G11" s="302"/>
      <c r="H11" s="302"/>
      <c r="I11" s="302"/>
      <c r="J11" s="302"/>
    </row>
    <row r="12" spans="1:18" ht="18.75" customHeight="1" thickBot="1" x14ac:dyDescent="0.3">
      <c r="A12" s="268" t="s">
        <v>13</v>
      </c>
      <c r="B12" s="270" t="s">
        <v>12</v>
      </c>
      <c r="C12" s="270" t="s">
        <v>11</v>
      </c>
      <c r="D12" s="270" t="s">
        <v>10</v>
      </c>
      <c r="E12" s="274" t="s">
        <v>9</v>
      </c>
      <c r="F12" s="275"/>
      <c r="G12" s="275"/>
      <c r="H12" s="275"/>
      <c r="I12" s="276"/>
      <c r="J12" s="270" t="s">
        <v>8</v>
      </c>
    </row>
    <row r="13" spans="1:18" ht="18.75" customHeight="1" x14ac:dyDescent="0.25">
      <c r="A13" s="269"/>
      <c r="B13" s="271"/>
      <c r="C13" s="271"/>
      <c r="D13" s="271"/>
      <c r="E13" s="277" t="s">
        <v>7</v>
      </c>
      <c r="F13" s="279" t="s">
        <v>6</v>
      </c>
      <c r="G13" s="280"/>
      <c r="H13" s="279" t="s">
        <v>5</v>
      </c>
      <c r="I13" s="280"/>
      <c r="J13" s="271"/>
    </row>
    <row r="14" spans="1:18" ht="9" customHeight="1" thickBot="1" x14ac:dyDescent="0.3">
      <c r="A14" s="269"/>
      <c r="B14" s="271"/>
      <c r="C14" s="271"/>
      <c r="D14" s="271"/>
      <c r="E14" s="278"/>
      <c r="F14" s="281"/>
      <c r="G14" s="282"/>
      <c r="H14" s="281"/>
      <c r="I14" s="282"/>
      <c r="J14" s="271"/>
    </row>
    <row r="15" spans="1:18" ht="57" customHeight="1" thickBot="1" x14ac:dyDescent="0.3">
      <c r="A15" s="269"/>
      <c r="B15" s="271"/>
      <c r="C15" s="271"/>
      <c r="D15" s="271"/>
      <c r="E15" s="278"/>
      <c r="F15" s="25" t="s">
        <v>4</v>
      </c>
      <c r="G15" s="25" t="s">
        <v>3</v>
      </c>
      <c r="H15" s="25" t="s">
        <v>2</v>
      </c>
      <c r="I15" s="25" t="s">
        <v>1</v>
      </c>
      <c r="J15" s="271"/>
    </row>
    <row r="16" spans="1:18" ht="63.75" customHeight="1" thickBot="1" x14ac:dyDescent="0.3">
      <c r="A16" s="265" t="s">
        <v>21</v>
      </c>
      <c r="B16" s="102">
        <v>4</v>
      </c>
      <c r="C16" s="103" t="s">
        <v>200</v>
      </c>
      <c r="D16" s="104" t="s">
        <v>201</v>
      </c>
      <c r="E16" s="105">
        <f>F16+G16+H16+I16</f>
        <v>20526.34</v>
      </c>
      <c r="F16" s="105">
        <f>16575+2925</f>
        <v>19500</v>
      </c>
      <c r="G16" s="105">
        <v>0</v>
      </c>
      <c r="H16" s="105">
        <v>1026.3399999999999</v>
      </c>
      <c r="I16" s="105">
        <v>0</v>
      </c>
      <c r="J16" s="106">
        <v>0</v>
      </c>
      <c r="K16" s="42"/>
      <c r="L16" s="42"/>
      <c r="M16" s="43">
        <v>19500</v>
      </c>
    </row>
    <row r="17" spans="1:15" ht="45.75" customHeight="1" thickBot="1" x14ac:dyDescent="0.3">
      <c r="A17" s="266"/>
      <c r="B17" s="107">
        <v>4</v>
      </c>
      <c r="C17" s="108" t="s">
        <v>200</v>
      </c>
      <c r="D17" s="109" t="s">
        <v>201</v>
      </c>
      <c r="E17" s="110">
        <f>F17+G17+H17+I17</f>
        <v>1052.6300000000001</v>
      </c>
      <c r="F17" s="110">
        <f>850+150</f>
        <v>1000</v>
      </c>
      <c r="G17" s="110">
        <v>0</v>
      </c>
      <c r="H17" s="110">
        <v>52.63</v>
      </c>
      <c r="I17" s="110">
        <v>0</v>
      </c>
      <c r="J17" s="111">
        <v>0</v>
      </c>
      <c r="K17" s="44"/>
      <c r="L17" s="44"/>
      <c r="M17" s="45">
        <v>1000</v>
      </c>
    </row>
    <row r="18" spans="1:15" ht="72.75" customHeight="1" thickBot="1" x14ac:dyDescent="0.3">
      <c r="A18" s="266"/>
      <c r="B18" s="107">
        <v>4</v>
      </c>
      <c r="C18" s="108" t="s">
        <v>200</v>
      </c>
      <c r="D18" s="109" t="s">
        <v>201</v>
      </c>
      <c r="E18" s="110">
        <f t="shared" ref="E18:E25" si="0">F18+G18+H18+I18</f>
        <v>7694.68</v>
      </c>
      <c r="F18" s="110">
        <f>6213.45+1096.5</f>
        <v>7309.95</v>
      </c>
      <c r="G18" s="110">
        <v>0</v>
      </c>
      <c r="H18" s="110">
        <v>384.73</v>
      </c>
      <c r="I18" s="110">
        <v>0</v>
      </c>
      <c r="J18" s="111">
        <v>0</v>
      </c>
      <c r="K18" s="44"/>
      <c r="L18" s="44"/>
      <c r="M18" s="45">
        <v>7309.95</v>
      </c>
    </row>
    <row r="19" spans="1:15" ht="54.75" customHeight="1" thickBot="1" x14ac:dyDescent="0.3">
      <c r="A19" s="266"/>
      <c r="B19" s="107">
        <v>4</v>
      </c>
      <c r="C19" s="108" t="s">
        <v>200</v>
      </c>
      <c r="D19" s="109" t="s">
        <v>201</v>
      </c>
      <c r="E19" s="110">
        <f t="shared" si="0"/>
        <v>4210.53</v>
      </c>
      <c r="F19" s="110">
        <f>3400+600</f>
        <v>4000</v>
      </c>
      <c r="G19" s="110">
        <v>0</v>
      </c>
      <c r="H19" s="110">
        <v>0</v>
      </c>
      <c r="I19" s="110">
        <v>210.53</v>
      </c>
      <c r="J19" s="111">
        <v>0</v>
      </c>
      <c r="K19" s="44"/>
      <c r="L19" s="44"/>
      <c r="M19" s="45">
        <v>4000</v>
      </c>
    </row>
    <row r="20" spans="1:15" ht="45.75" customHeight="1" thickBot="1" x14ac:dyDescent="0.3">
      <c r="A20" s="266"/>
      <c r="B20" s="107">
        <v>4</v>
      </c>
      <c r="C20" s="108" t="s">
        <v>200</v>
      </c>
      <c r="D20" s="109" t="s">
        <v>201</v>
      </c>
      <c r="E20" s="110">
        <f t="shared" si="0"/>
        <v>5263.13</v>
      </c>
      <c r="F20" s="110">
        <f>4250+750</f>
        <v>5000</v>
      </c>
      <c r="G20" s="110">
        <v>0</v>
      </c>
      <c r="H20" s="110">
        <v>236.82</v>
      </c>
      <c r="I20" s="110">
        <v>26.31</v>
      </c>
      <c r="J20" s="111">
        <v>0</v>
      </c>
      <c r="K20" s="44"/>
      <c r="L20" s="44"/>
      <c r="M20" s="45">
        <v>5000</v>
      </c>
    </row>
    <row r="21" spans="1:15" ht="72.75" customHeight="1" thickBot="1" x14ac:dyDescent="0.3">
      <c r="A21" s="267"/>
      <c r="B21" s="112">
        <v>4</v>
      </c>
      <c r="C21" s="113" t="s">
        <v>200</v>
      </c>
      <c r="D21" s="114" t="s">
        <v>201</v>
      </c>
      <c r="E21" s="115">
        <f t="shared" si="0"/>
        <v>2105.25</v>
      </c>
      <c r="F21" s="115">
        <f>1700+300</f>
        <v>2000</v>
      </c>
      <c r="G21" s="115">
        <v>0</v>
      </c>
      <c r="H21" s="115">
        <v>105.25</v>
      </c>
      <c r="I21" s="115">
        <v>0</v>
      </c>
      <c r="J21" s="116">
        <v>0</v>
      </c>
      <c r="K21" s="46"/>
      <c r="L21" s="46"/>
      <c r="M21" s="47">
        <v>2000</v>
      </c>
    </row>
    <row r="22" spans="1:15" ht="36" customHeight="1" thickBot="1" x14ac:dyDescent="0.3">
      <c r="A22" s="265" t="s">
        <v>27</v>
      </c>
      <c r="B22" s="102">
        <v>6</v>
      </c>
      <c r="C22" s="103" t="s">
        <v>202</v>
      </c>
      <c r="D22" s="104" t="s">
        <v>203</v>
      </c>
      <c r="E22" s="105">
        <f t="shared" si="0"/>
        <v>7440</v>
      </c>
      <c r="F22" s="105">
        <v>2790</v>
      </c>
      <c r="G22" s="105">
        <v>930</v>
      </c>
      <c r="H22" s="105">
        <v>0</v>
      </c>
      <c r="I22" s="105">
        <v>3720</v>
      </c>
      <c r="J22" s="106">
        <v>0</v>
      </c>
      <c r="K22" s="42"/>
      <c r="L22" s="42"/>
      <c r="M22" s="43">
        <v>3720</v>
      </c>
    </row>
    <row r="23" spans="1:15" ht="38.25" customHeight="1" thickBot="1" x14ac:dyDescent="0.3">
      <c r="A23" s="266"/>
      <c r="B23" s="107">
        <v>6</v>
      </c>
      <c r="C23" s="108" t="s">
        <v>202</v>
      </c>
      <c r="D23" s="109" t="s">
        <v>203</v>
      </c>
      <c r="E23" s="110">
        <f t="shared" si="0"/>
        <v>3125</v>
      </c>
      <c r="F23" s="110">
        <v>1875</v>
      </c>
      <c r="G23" s="110">
        <v>625</v>
      </c>
      <c r="H23" s="110">
        <v>0</v>
      </c>
      <c r="I23" s="110">
        <v>625</v>
      </c>
      <c r="J23" s="111">
        <v>0</v>
      </c>
      <c r="K23" s="44"/>
      <c r="L23" s="44"/>
      <c r="M23" s="45">
        <v>2500</v>
      </c>
    </row>
    <row r="24" spans="1:15" ht="63.75" customHeight="1" thickBot="1" x14ac:dyDescent="0.3">
      <c r="A24" s="266"/>
      <c r="B24" s="107">
        <v>6</v>
      </c>
      <c r="C24" s="108" t="s">
        <v>202</v>
      </c>
      <c r="D24" s="109" t="s">
        <v>203</v>
      </c>
      <c r="E24" s="110">
        <f t="shared" si="0"/>
        <v>44444.44</v>
      </c>
      <c r="F24" s="110">
        <v>15000</v>
      </c>
      <c r="G24" s="110">
        <v>5000</v>
      </c>
      <c r="H24" s="110">
        <v>0</v>
      </c>
      <c r="I24" s="110">
        <v>24444.44</v>
      </c>
      <c r="J24" s="111">
        <v>0</v>
      </c>
      <c r="K24" s="44"/>
      <c r="L24" s="44"/>
      <c r="M24" s="45">
        <v>20000</v>
      </c>
    </row>
    <row r="25" spans="1:15" ht="81.75" customHeight="1" thickBot="1" x14ac:dyDescent="0.3">
      <c r="A25" s="266"/>
      <c r="B25" s="107">
        <v>6</v>
      </c>
      <c r="C25" s="108" t="s">
        <v>202</v>
      </c>
      <c r="D25" s="109" t="s">
        <v>203</v>
      </c>
      <c r="E25" s="110">
        <f t="shared" si="0"/>
        <v>600</v>
      </c>
      <c r="F25" s="110">
        <v>225</v>
      </c>
      <c r="G25" s="110">
        <v>75</v>
      </c>
      <c r="H25" s="110">
        <v>0</v>
      </c>
      <c r="I25" s="110">
        <v>300</v>
      </c>
      <c r="J25" s="111">
        <v>0</v>
      </c>
      <c r="K25" s="44"/>
      <c r="L25" s="44"/>
      <c r="M25" s="45">
        <v>300</v>
      </c>
    </row>
    <row r="26" spans="1:15" ht="54.75" customHeight="1" thickBot="1" x14ac:dyDescent="0.3">
      <c r="A26" s="267"/>
      <c r="B26" s="112">
        <v>6</v>
      </c>
      <c r="C26" s="113" t="s">
        <v>202</v>
      </c>
      <c r="D26" s="114" t="s">
        <v>204</v>
      </c>
      <c r="E26" s="115">
        <f>F26+G26+H26+I26</f>
        <v>1581.28</v>
      </c>
      <c r="F26" s="115">
        <f>0.75*M26+0.01</f>
        <v>948.76</v>
      </c>
      <c r="G26" s="115">
        <f>0.25*M26+0.01</f>
        <v>316.26</v>
      </c>
      <c r="H26" s="115">
        <v>0</v>
      </c>
      <c r="I26" s="115">
        <f>316.25+0.01</f>
        <v>316.26</v>
      </c>
      <c r="J26" s="116">
        <v>0</v>
      </c>
      <c r="K26" s="125"/>
      <c r="L26" s="125"/>
      <c r="M26" s="126">
        <v>1265</v>
      </c>
      <c r="N26" s="76">
        <f>'f. Financování dle OP 2022'!M16+'f. Financování dle OP 2020'!M16+'f. Financování dle OP 2018'!M16</f>
        <v>1265</v>
      </c>
      <c r="O26" s="76"/>
    </row>
    <row r="27" spans="1:15" ht="63.75" customHeight="1" thickBot="1" x14ac:dyDescent="0.3">
      <c r="A27" s="265" t="s">
        <v>44</v>
      </c>
      <c r="B27" s="117">
        <v>2</v>
      </c>
      <c r="C27" s="118">
        <v>3</v>
      </c>
      <c r="D27" s="104" t="s">
        <v>205</v>
      </c>
      <c r="E27" s="105">
        <v>5220.8</v>
      </c>
      <c r="F27" s="105">
        <v>4437.68</v>
      </c>
      <c r="G27" s="105">
        <v>783.12</v>
      </c>
      <c r="H27" s="105">
        <v>0</v>
      </c>
      <c r="I27" s="105">
        <v>0</v>
      </c>
      <c r="J27" s="106">
        <v>0</v>
      </c>
      <c r="K27" s="297" t="s">
        <v>45</v>
      </c>
      <c r="L27" s="298"/>
      <c r="M27" s="127">
        <v>5220.8</v>
      </c>
      <c r="O27" s="76"/>
    </row>
    <row r="28" spans="1:15" ht="54.75" customHeight="1" thickBot="1" x14ac:dyDescent="0.3">
      <c r="A28" s="266"/>
      <c r="B28" s="119">
        <v>2</v>
      </c>
      <c r="C28" s="120">
        <v>3</v>
      </c>
      <c r="D28" s="109" t="s">
        <v>205</v>
      </c>
      <c r="E28" s="110">
        <v>1305.21</v>
      </c>
      <c r="F28" s="110">
        <v>1109.4285</v>
      </c>
      <c r="G28" s="110">
        <v>195.78149999999999</v>
      </c>
      <c r="H28" s="110">
        <v>0</v>
      </c>
      <c r="I28" s="110">
        <v>0</v>
      </c>
      <c r="J28" s="111">
        <v>0</v>
      </c>
      <c r="K28" s="285" t="s">
        <v>46</v>
      </c>
      <c r="L28" s="286"/>
      <c r="M28" s="124">
        <v>1305.21</v>
      </c>
    </row>
    <row r="29" spans="1:15" ht="45.75" customHeight="1" thickBot="1" x14ac:dyDescent="0.3">
      <c r="A29" s="266"/>
      <c r="B29" s="119" t="s">
        <v>47</v>
      </c>
      <c r="C29" s="120">
        <v>3</v>
      </c>
      <c r="D29" s="109" t="s">
        <v>205</v>
      </c>
      <c r="E29" s="110">
        <v>1957.75</v>
      </c>
      <c r="F29" s="110">
        <v>1664.0875000000001</v>
      </c>
      <c r="G29" s="110">
        <v>293.66250000000002</v>
      </c>
      <c r="H29" s="110">
        <v>0</v>
      </c>
      <c r="I29" s="110">
        <v>0</v>
      </c>
      <c r="J29" s="111">
        <v>0</v>
      </c>
      <c r="K29" s="285" t="s">
        <v>49</v>
      </c>
      <c r="L29" s="286"/>
      <c r="M29" s="124">
        <f>1957.82-0.07</f>
        <v>1957.75</v>
      </c>
    </row>
    <row r="30" spans="1:15" ht="63.75" customHeight="1" thickBot="1" x14ac:dyDescent="0.3">
      <c r="A30" s="267"/>
      <c r="B30" s="121" t="s">
        <v>47</v>
      </c>
      <c r="C30" s="122">
        <v>3</v>
      </c>
      <c r="D30" s="114" t="s">
        <v>205</v>
      </c>
      <c r="E30" s="115">
        <v>4568.22</v>
      </c>
      <c r="F30" s="115">
        <v>3882.9870000000001</v>
      </c>
      <c r="G30" s="115">
        <v>685.23299999999995</v>
      </c>
      <c r="H30" s="115">
        <v>0</v>
      </c>
      <c r="I30" s="115">
        <v>0</v>
      </c>
      <c r="J30" s="116">
        <v>0</v>
      </c>
      <c r="K30" s="289" t="s">
        <v>50</v>
      </c>
      <c r="L30" s="290"/>
      <c r="M30" s="126">
        <v>4568.22</v>
      </c>
    </row>
    <row r="31" spans="1:15" ht="15.75" thickBot="1" x14ac:dyDescent="0.3">
      <c r="A31" s="263" t="s">
        <v>0</v>
      </c>
      <c r="B31" s="264"/>
      <c r="C31" s="264"/>
      <c r="D31" s="264"/>
      <c r="E31" s="23">
        <f t="shared" ref="E31:J31" si="1">SUM(E16:E30)</f>
        <v>111095.26000000001</v>
      </c>
      <c r="F31" s="23">
        <f t="shared" si="1"/>
        <v>70742.892999999996</v>
      </c>
      <c r="G31" s="23">
        <f t="shared" si="1"/>
        <v>8904.0570000000007</v>
      </c>
      <c r="H31" s="23">
        <f t="shared" si="1"/>
        <v>1805.77</v>
      </c>
      <c r="I31" s="23">
        <f t="shared" si="1"/>
        <v>29642.539999999997</v>
      </c>
      <c r="J31" s="23">
        <f t="shared" si="1"/>
        <v>0</v>
      </c>
      <c r="K31"/>
      <c r="L31"/>
      <c r="M31" s="40">
        <f>F31+G31</f>
        <v>79646.95</v>
      </c>
    </row>
    <row r="33" spans="1:13" x14ac:dyDescent="0.25">
      <c r="E33" s="76"/>
    </row>
    <row r="36" spans="1:13" ht="15.75" thickBot="1" x14ac:dyDescent="0.3">
      <c r="A36" s="283" t="s">
        <v>307</v>
      </c>
      <c r="B36" s="284"/>
      <c r="C36" s="284"/>
      <c r="D36" s="284"/>
      <c r="E36" s="284"/>
      <c r="F36" s="284"/>
      <c r="G36" s="284"/>
      <c r="H36" s="284"/>
      <c r="I36" s="284"/>
      <c r="J36" s="284"/>
      <c r="K36" s="284"/>
      <c r="L36" s="284"/>
      <c r="M36" s="284"/>
    </row>
    <row r="37" spans="1:13" ht="15.75" thickBot="1" x14ac:dyDescent="0.3">
      <c r="A37" s="268" t="s">
        <v>13</v>
      </c>
      <c r="B37" s="270" t="s">
        <v>12</v>
      </c>
      <c r="C37" s="270" t="s">
        <v>11</v>
      </c>
      <c r="D37" s="270" t="s">
        <v>10</v>
      </c>
      <c r="E37" s="274" t="s">
        <v>9</v>
      </c>
      <c r="F37" s="275"/>
      <c r="G37" s="275"/>
      <c r="H37" s="275"/>
      <c r="I37" s="276"/>
      <c r="J37" s="270" t="s">
        <v>8</v>
      </c>
    </row>
    <row r="38" spans="1:13" x14ac:dyDescent="0.25">
      <c r="A38" s="269"/>
      <c r="B38" s="271"/>
      <c r="C38" s="271"/>
      <c r="D38" s="271"/>
      <c r="E38" s="277" t="s">
        <v>7</v>
      </c>
      <c r="F38" s="279" t="s">
        <v>6</v>
      </c>
      <c r="G38" s="280"/>
      <c r="H38" s="279" t="s">
        <v>5</v>
      </c>
      <c r="I38" s="280"/>
      <c r="J38" s="271"/>
    </row>
    <row r="39" spans="1:13" ht="15.75" thickBot="1" x14ac:dyDescent="0.3">
      <c r="A39" s="269"/>
      <c r="B39" s="271"/>
      <c r="C39" s="271"/>
      <c r="D39" s="271"/>
      <c r="E39" s="278"/>
      <c r="F39" s="281"/>
      <c r="G39" s="282"/>
      <c r="H39" s="281"/>
      <c r="I39" s="282"/>
      <c r="J39" s="271"/>
    </row>
    <row r="40" spans="1:13" ht="45.75" thickBot="1" x14ac:dyDescent="0.3">
      <c r="A40" s="269"/>
      <c r="B40" s="271"/>
      <c r="C40" s="271"/>
      <c r="D40" s="271"/>
      <c r="E40" s="278"/>
      <c r="F40" s="25" t="s">
        <v>4</v>
      </c>
      <c r="G40" s="25" t="s">
        <v>3</v>
      </c>
      <c r="H40" s="25" t="s">
        <v>2</v>
      </c>
      <c r="I40" s="25" t="s">
        <v>1</v>
      </c>
      <c r="J40" s="271"/>
    </row>
    <row r="41" spans="1:13" ht="36.75" thickBot="1" x14ac:dyDescent="0.3">
      <c r="A41" s="175" t="s">
        <v>21</v>
      </c>
      <c r="B41" s="102">
        <v>4</v>
      </c>
      <c r="C41" s="103" t="s">
        <v>200</v>
      </c>
      <c r="D41" s="104" t="s">
        <v>201</v>
      </c>
      <c r="E41" s="105">
        <f>F41+G41+H41+I41</f>
        <v>40852.55999999999</v>
      </c>
      <c r="F41" s="105">
        <f>F16+F17+F18+F19+F20+F21</f>
        <v>38809.949999999997</v>
      </c>
      <c r="G41" s="105">
        <f>G16+G17+G18+G19+G20+G21</f>
        <v>0</v>
      </c>
      <c r="H41" s="105">
        <f>H16+H17+H18+H19+H20+H21</f>
        <v>1805.77</v>
      </c>
      <c r="I41" s="105">
        <f>I16+I17+I18+I19+I20+I21</f>
        <v>236.84</v>
      </c>
      <c r="J41" s="106">
        <f>J16+J17+J18+J19+J20+J21</f>
        <v>0</v>
      </c>
      <c r="K41" s="170"/>
      <c r="L41" s="171"/>
      <c r="M41" s="172"/>
    </row>
    <row r="42" spans="1:13" ht="27.75" thickBot="1" x14ac:dyDescent="0.3">
      <c r="A42" s="266" t="s">
        <v>27</v>
      </c>
      <c r="B42" s="107">
        <v>6</v>
      </c>
      <c r="C42" s="108" t="s">
        <v>202</v>
      </c>
      <c r="D42" s="109" t="s">
        <v>203</v>
      </c>
      <c r="E42" s="110">
        <f>F42+G42+H42+I42</f>
        <v>55609.440000000002</v>
      </c>
      <c r="F42" s="110">
        <f>F22+F23+F24+F25</f>
        <v>19890</v>
      </c>
      <c r="G42" s="110">
        <f>G22+G23+G24+G25</f>
        <v>6630</v>
      </c>
      <c r="H42" s="110">
        <f>H22+H23+H24+H25</f>
        <v>0</v>
      </c>
      <c r="I42" s="110">
        <f>I22+I23+I24+I25</f>
        <v>29089.439999999999</v>
      </c>
      <c r="J42" s="111">
        <f>J22+J23+J24+J25</f>
        <v>0</v>
      </c>
      <c r="K42" s="44"/>
      <c r="L42" s="44"/>
      <c r="M42" s="54"/>
    </row>
    <row r="43" spans="1:13" ht="18" x14ac:dyDescent="0.25">
      <c r="A43" s="266"/>
      <c r="B43" s="160">
        <v>6</v>
      </c>
      <c r="C43" s="162" t="s">
        <v>202</v>
      </c>
      <c r="D43" s="163" t="s">
        <v>204</v>
      </c>
      <c r="E43" s="164">
        <f>F43+G43+H43+I43</f>
        <v>1581.28</v>
      </c>
      <c r="F43" s="166">
        <f>F26</f>
        <v>948.76</v>
      </c>
      <c r="G43" s="166">
        <f>G26</f>
        <v>316.26</v>
      </c>
      <c r="H43" s="166">
        <f>H26</f>
        <v>0</v>
      </c>
      <c r="I43" s="166">
        <f>I26</f>
        <v>316.26</v>
      </c>
      <c r="J43" s="167">
        <f>J26</f>
        <v>0</v>
      </c>
      <c r="K43" s="44"/>
      <c r="L43" s="169"/>
      <c r="M43" s="54"/>
    </row>
    <row r="44" spans="1:13" ht="36.75" thickBot="1" x14ac:dyDescent="0.3">
      <c r="A44" s="159" t="s">
        <v>44</v>
      </c>
      <c r="B44" s="121" t="s">
        <v>47</v>
      </c>
      <c r="C44" s="161">
        <v>3</v>
      </c>
      <c r="D44" s="114" t="s">
        <v>205</v>
      </c>
      <c r="E44" s="165">
        <f>F44+G44+H44+I44</f>
        <v>13051.980000000001</v>
      </c>
      <c r="F44" s="115">
        <f>F27+F28+F29+F30</f>
        <v>11094.183000000001</v>
      </c>
      <c r="G44" s="115">
        <f>G27+G28+G29+G30</f>
        <v>1957.7969999999998</v>
      </c>
      <c r="H44" s="115">
        <f>H27+H28+H29+H30</f>
        <v>0</v>
      </c>
      <c r="I44" s="115">
        <f>I27+I28+I29+I30</f>
        <v>0</v>
      </c>
      <c r="J44" s="116">
        <f>J27+J28+J29+J30</f>
        <v>0</v>
      </c>
      <c r="K44" s="168"/>
      <c r="L44" s="169"/>
      <c r="M44" s="174"/>
    </row>
    <row r="45" spans="1:13" ht="15.75" thickBot="1" x14ac:dyDescent="0.3">
      <c r="A45" s="263" t="s">
        <v>0</v>
      </c>
      <c r="B45" s="264"/>
      <c r="C45" s="264"/>
      <c r="D45" s="264"/>
      <c r="E45" s="23">
        <f t="shared" ref="E45:J45" si="2">SUM(E41:E44)</f>
        <v>111095.26</v>
      </c>
      <c r="F45" s="23">
        <f t="shared" si="2"/>
        <v>70742.892999999996</v>
      </c>
      <c r="G45" s="23">
        <f t="shared" si="2"/>
        <v>8904.0570000000007</v>
      </c>
      <c r="H45" s="23">
        <f t="shared" si="2"/>
        <v>1805.77</v>
      </c>
      <c r="I45" s="23">
        <f t="shared" si="2"/>
        <v>29642.539999999997</v>
      </c>
      <c r="J45" s="23">
        <f t="shared" si="2"/>
        <v>0</v>
      </c>
      <c r="K45"/>
      <c r="L45"/>
      <c r="M45" s="21"/>
    </row>
  </sheetData>
  <mergeCells count="35">
    <mergeCell ref="A36:M36"/>
    <mergeCell ref="A37:A40"/>
    <mergeCell ref="E37:I37"/>
    <mergeCell ref="J37:J40"/>
    <mergeCell ref="E38:E40"/>
    <mergeCell ref="F38:G39"/>
    <mergeCell ref="H38:I39"/>
    <mergeCell ref="A42:A43"/>
    <mergeCell ref="A45:D45"/>
    <mergeCell ref="B37:B40"/>
    <mergeCell ref="C37:C40"/>
    <mergeCell ref="D37:D40"/>
    <mergeCell ref="N3:N5"/>
    <mergeCell ref="N7:N8"/>
    <mergeCell ref="L1:R1"/>
    <mergeCell ref="A16:A21"/>
    <mergeCell ref="A22:A26"/>
    <mergeCell ref="A27:A30"/>
    <mergeCell ref="A31:D31"/>
    <mergeCell ref="A11:J11"/>
    <mergeCell ref="A12:A15"/>
    <mergeCell ref="B12:B15"/>
    <mergeCell ref="C12:C15"/>
    <mergeCell ref="D12:D15"/>
    <mergeCell ref="E12:I12"/>
    <mergeCell ref="J12:J15"/>
    <mergeCell ref="E13:E15"/>
    <mergeCell ref="F13:G14"/>
    <mergeCell ref="H13:I14"/>
    <mergeCell ref="K27:L27"/>
    <mergeCell ref="K28:L28"/>
    <mergeCell ref="K29:L29"/>
    <mergeCell ref="K30:L30"/>
    <mergeCell ref="B2:L2"/>
    <mergeCell ref="B3:L3"/>
  </mergeCells>
  <pageMargins left="0.7" right="0.7" top="0.78740157499999996" bottom="0.78740157499999996" header="0.3" footer="0.3"/>
  <pageSetup paperSize="9" scale="64"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19</vt:i4>
      </vt:variant>
    </vt:vector>
  </HeadingPairs>
  <TitlesOfParts>
    <vt:vector size="19" baseType="lpstr">
      <vt:lpstr>f. Financování dle OP 2016</vt:lpstr>
      <vt:lpstr>f. Financování dle OP 2017</vt:lpstr>
      <vt:lpstr>f. Financování dle OP 2018</vt:lpstr>
      <vt:lpstr>f. Financování dle OP 2019</vt:lpstr>
      <vt:lpstr>f. Financování dle OP 2020</vt:lpstr>
      <vt:lpstr>f. Financování dle OP 2021</vt:lpstr>
      <vt:lpstr>f. Financování dle OP 2022</vt:lpstr>
      <vt:lpstr>f. Financování dle OP 2023</vt:lpstr>
      <vt:lpstr>f. Financování dle OP celkem</vt:lpstr>
      <vt:lpstr>e. a h. Financování dle CLLD</vt:lpstr>
      <vt:lpstr>g. Indikátory</vt:lpstr>
      <vt:lpstr>e. a h. Financování CLLD 2016</vt:lpstr>
      <vt:lpstr>e. a h. Financování CLLD 2017</vt:lpstr>
      <vt:lpstr>e. a h. Financování CLLD 2018</vt:lpstr>
      <vt:lpstr>e. a h. Financování CLLD 2019</vt:lpstr>
      <vt:lpstr>e. a h. Financování CLLD 2020</vt:lpstr>
      <vt:lpstr>e. a h. Fincování CLLD 2021</vt:lpstr>
      <vt:lpstr>e. a h. Financování CLLD 2022</vt:lpstr>
      <vt:lpstr>e. a h. Financování CLLD 2023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Patejl</dc:creator>
  <cp:lastModifiedBy>Robert Kubala</cp:lastModifiedBy>
  <cp:lastPrinted>2017-07-05T18:03:58Z</cp:lastPrinted>
  <dcterms:created xsi:type="dcterms:W3CDTF">2016-02-28T12:26:29Z</dcterms:created>
  <dcterms:modified xsi:type="dcterms:W3CDTF">2019-08-27T12:42:12Z</dcterms:modified>
</cp:coreProperties>
</file>